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7"/>
  <workbookPr defaultThemeVersion="166925"/>
  <mc:AlternateContent xmlns:mc="http://schemas.openxmlformats.org/markup-compatibility/2006">
    <mc:Choice Requires="x15">
      <x15ac:absPath xmlns:x15ac="http://schemas.microsoft.com/office/spreadsheetml/2010/11/ac" url="C:\Users\Bridgit\Desktop\"/>
    </mc:Choice>
  </mc:AlternateContent>
  <xr:revisionPtr revIDLastSave="0" documentId="8_{623D90F7-005A-4406-8F4A-AFF40D099C6D}" xr6:coauthVersionLast="47" xr6:coauthVersionMax="47" xr10:uidLastSave="{00000000-0000-0000-0000-000000000000}"/>
  <workbookProtection workbookAlgorithmName="SHA-512" workbookHashValue="GXaZvmPOmWl5/WwS4w8AJMMfViSnC26PWMouWG498diMlp/1AsOHv5xf+BYSmMbffDcoo7F9+sMWXRuHZhvzpA==" workbookSaltValue="IjnjQNjShqOX48hjerUbIg==" workbookSpinCount="100000" lockStructure="1"/>
  <bookViews>
    <workbookView xWindow="32085" yWindow="3285" windowWidth="21600" windowHeight="11265" firstSheet="2" activeTab="2" xr2:uid="{FC80BD31-5277-7B4F-8B53-BB713FB2A56B}"/>
  </bookViews>
  <sheets>
    <sheet name="Instructions" sheetId="5" r:id="rId1"/>
    <sheet name="Daily" sheetId="7" r:id="rId2"/>
    <sheet name="Fortnightly (Detailed)" sheetId="1" r:id="rId3"/>
    <sheet name="Lookups" sheetId="2" state="hidden" r:id="rId4"/>
  </sheets>
  <definedNames>
    <definedName name="hr_rate_cap">Lookups!$C$4</definedName>
    <definedName name="kindy_hours">Lookups!$C$5</definedName>
    <definedName name="kindy_hours_fn">Lookups!$C$6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1" i="7" l="1"/>
  <c r="T11" i="7" s="1"/>
  <c r="B19" i="7" s="1"/>
  <c r="H11" i="7"/>
  <c r="I11" i="7" s="1"/>
  <c r="J11" i="7" s="1"/>
  <c r="K11" i="7" s="1"/>
  <c r="L11" i="7" l="1"/>
  <c r="M11" i="7" s="1"/>
  <c r="X11" i="7"/>
  <c r="H24" i="1"/>
  <c r="H23" i="1"/>
  <c r="H25" i="1"/>
  <c r="AB15" i="1"/>
  <c r="AC15" i="1" s="1"/>
  <c r="AB14" i="1"/>
  <c r="AC14" i="1" s="1"/>
  <c r="AB20" i="1"/>
  <c r="AC20" i="1" s="1"/>
  <c r="K20" i="1"/>
  <c r="L20" i="1" s="1"/>
  <c r="M20" i="1" s="1"/>
  <c r="AB19" i="1"/>
  <c r="AC19" i="1" s="1"/>
  <c r="K19" i="1"/>
  <c r="L19" i="1" s="1"/>
  <c r="M19" i="1" s="1"/>
  <c r="AB18" i="1"/>
  <c r="AC18" i="1" s="1"/>
  <c r="K18" i="1"/>
  <c r="L18" i="1" s="1"/>
  <c r="M18" i="1" s="1"/>
  <c r="AB17" i="1"/>
  <c r="AC17" i="1" s="1"/>
  <c r="AP17" i="1" s="1"/>
  <c r="K17" i="1"/>
  <c r="L17" i="1" s="1"/>
  <c r="AB16" i="1"/>
  <c r="AC16" i="1" s="1"/>
  <c r="AG16" i="1" s="1"/>
  <c r="K16" i="1"/>
  <c r="L16" i="1" s="1"/>
  <c r="M16" i="1" s="1"/>
  <c r="K15" i="1"/>
  <c r="L15" i="1" s="1"/>
  <c r="M15" i="1" s="1"/>
  <c r="K14" i="1"/>
  <c r="L14" i="1" s="1"/>
  <c r="M14" i="1" s="1"/>
  <c r="AB13" i="1"/>
  <c r="AC13" i="1" s="1"/>
  <c r="AP13" i="1" s="1"/>
  <c r="AB12" i="1"/>
  <c r="AC12" i="1" s="1"/>
  <c r="AP12" i="1" s="1"/>
  <c r="K12" i="1"/>
  <c r="L12" i="1" s="1"/>
  <c r="M12" i="1" s="1"/>
  <c r="K13" i="1"/>
  <c r="L13" i="1" s="1"/>
  <c r="M13" i="1" s="1"/>
  <c r="AB11" i="1"/>
  <c r="AC11" i="1" s="1"/>
  <c r="AP11" i="1" s="1"/>
  <c r="K11" i="1"/>
  <c r="L11" i="1" s="1"/>
  <c r="O11" i="1" s="1"/>
  <c r="AE11" i="1" l="1"/>
  <c r="AD11" i="1"/>
  <c r="AP14" i="1"/>
  <c r="AP15" i="1"/>
  <c r="AP18" i="1"/>
  <c r="AP19" i="1"/>
  <c r="AP16" i="1"/>
  <c r="AP20" i="1"/>
  <c r="AG11" i="1"/>
  <c r="V11" i="7"/>
  <c r="Y11" i="7" s="1"/>
  <c r="U11" i="7"/>
  <c r="M17" i="1"/>
  <c r="N17" i="1" s="1"/>
  <c r="M11" i="1"/>
  <c r="N11" i="1" s="1"/>
  <c r="P11" i="1" s="1"/>
  <c r="N13" i="1"/>
  <c r="N19" i="1"/>
  <c r="N18" i="1"/>
  <c r="N14" i="1"/>
  <c r="N15" i="1"/>
  <c r="N16" i="1"/>
  <c r="N20" i="1"/>
  <c r="N12" i="1"/>
  <c r="O12" i="1"/>
  <c r="AE12" i="1" s="1"/>
  <c r="P12" i="1" l="1"/>
  <c r="AG12" i="1"/>
  <c r="AG13" i="1" s="1"/>
  <c r="AF12" i="1"/>
  <c r="AD12" i="1"/>
  <c r="W11" i="7"/>
  <c r="Z11" i="7" s="1"/>
  <c r="AA11" i="7" s="1"/>
  <c r="N11" i="7"/>
  <c r="Q11" i="1"/>
  <c r="AF11" i="1"/>
  <c r="AI11" i="1" s="1"/>
  <c r="AH11" i="1"/>
  <c r="O13" i="1"/>
  <c r="P13" i="1" s="1"/>
  <c r="AD13" i="1" l="1"/>
  <c r="AE13" i="1"/>
  <c r="AG14" i="1"/>
  <c r="AG15" i="1" s="1"/>
  <c r="AH12" i="1"/>
  <c r="AI12" i="1"/>
  <c r="AL12" i="1" s="1"/>
  <c r="AC11" i="7"/>
  <c r="C20" i="7"/>
  <c r="O11" i="7" s="1"/>
  <c r="AL11" i="1"/>
  <c r="AH13" i="1"/>
  <c r="O14" i="1"/>
  <c r="P14" i="1" s="1"/>
  <c r="R11" i="1"/>
  <c r="U11" i="1" s="1"/>
  <c r="AJ11" i="1"/>
  <c r="Q12" i="1"/>
  <c r="R12" i="1" s="1"/>
  <c r="U12" i="1" s="1"/>
  <c r="AG17" i="1" l="1"/>
  <c r="AG18" i="1" s="1"/>
  <c r="AD14" i="1"/>
  <c r="AE14" i="1"/>
  <c r="AJ12" i="1"/>
  <c r="C21" i="7"/>
  <c r="P11" i="7"/>
  <c r="AF13" i="1"/>
  <c r="AI13" i="1" s="1"/>
  <c r="AL13" i="1" s="1"/>
  <c r="Q13" i="1"/>
  <c r="R13" i="1" s="1"/>
  <c r="S11" i="1"/>
  <c r="O15" i="1"/>
  <c r="P15" i="1" s="1"/>
  <c r="Q14" i="1"/>
  <c r="R14" i="1" s="1"/>
  <c r="S12" i="1"/>
  <c r="V12" i="1"/>
  <c r="X12" i="1" s="1"/>
  <c r="AG19" i="1" l="1"/>
  <c r="AG20" i="1" s="1"/>
  <c r="AD15" i="1"/>
  <c r="AE15" i="1"/>
  <c r="S13" i="1"/>
  <c r="U13" i="1"/>
  <c r="V13" i="1" s="1"/>
  <c r="X13" i="1" s="1"/>
  <c r="AK13" i="1" s="1"/>
  <c r="AM13" i="1" s="1"/>
  <c r="AO13" i="1" s="1"/>
  <c r="U14" i="1"/>
  <c r="V14" i="1" s="1"/>
  <c r="Q11" i="7"/>
  <c r="R11" i="7"/>
  <c r="AB11" i="7" s="1"/>
  <c r="AJ13" i="1"/>
  <c r="O16" i="1"/>
  <c r="P16" i="1" s="1"/>
  <c r="V11" i="1"/>
  <c r="S14" i="1"/>
  <c r="AF14" i="1"/>
  <c r="AI14" i="1" s="1"/>
  <c r="AH14" i="1"/>
  <c r="W12" i="1"/>
  <c r="AK12" i="1"/>
  <c r="AM12" i="1" s="1"/>
  <c r="AO12" i="1" s="1"/>
  <c r="AD16" i="1" l="1"/>
  <c r="AE16" i="1"/>
  <c r="W14" i="1"/>
  <c r="X14" i="1"/>
  <c r="AK14" i="1" s="1"/>
  <c r="C23" i="7"/>
  <c r="W13" i="1"/>
  <c r="AF15" i="1"/>
  <c r="AF23" i="1" s="1"/>
  <c r="AH15" i="1"/>
  <c r="AE23" i="1"/>
  <c r="X11" i="1"/>
  <c r="AK11" i="1" s="1"/>
  <c r="W11" i="1"/>
  <c r="O17" i="1"/>
  <c r="P17" i="1" s="1"/>
  <c r="AL14" i="1"/>
  <c r="AJ14" i="1"/>
  <c r="Q15" i="1"/>
  <c r="P23" i="1"/>
  <c r="AD17" i="1" l="1"/>
  <c r="AE17" i="1"/>
  <c r="C24" i="7"/>
  <c r="AH23" i="1"/>
  <c r="AI15" i="1"/>
  <c r="Q17" i="1"/>
  <c r="R17" i="1" s="1"/>
  <c r="U17" i="1" s="1"/>
  <c r="Q23" i="1"/>
  <c r="O18" i="1"/>
  <c r="P18" i="1" s="1"/>
  <c r="R15" i="1"/>
  <c r="U15" i="1" s="1"/>
  <c r="Q16" i="1"/>
  <c r="AM11" i="1"/>
  <c r="AM14" i="1"/>
  <c r="AO14" i="1" s="1"/>
  <c r="AF16" i="1"/>
  <c r="AI16" i="1" s="1"/>
  <c r="AH16" i="1"/>
  <c r="AD18" i="1" l="1"/>
  <c r="AE18" i="1"/>
  <c r="AL16" i="1"/>
  <c r="S15" i="1"/>
  <c r="R23" i="1"/>
  <c r="Q18" i="1"/>
  <c r="R18" i="1" s="1"/>
  <c r="U18" i="1" s="1"/>
  <c r="O19" i="1"/>
  <c r="P19" i="1" s="1"/>
  <c r="V17" i="1"/>
  <c r="S17" i="1"/>
  <c r="AF17" i="1"/>
  <c r="AI17" i="1" s="1"/>
  <c r="AL17" i="1" s="1"/>
  <c r="AH17" i="1"/>
  <c r="AL15" i="1"/>
  <c r="AI23" i="1"/>
  <c r="AJ16" i="1"/>
  <c r="AO11" i="1"/>
  <c r="R16" i="1"/>
  <c r="U16" i="1" s="1"/>
  <c r="AJ15" i="1"/>
  <c r="AD19" i="1" l="1"/>
  <c r="AE19" i="1"/>
  <c r="AJ17" i="1"/>
  <c r="O20" i="1"/>
  <c r="P20" i="1" s="1"/>
  <c r="W17" i="1"/>
  <c r="X17" i="1"/>
  <c r="AK17" i="1" s="1"/>
  <c r="AM17" i="1" s="1"/>
  <c r="AO17" i="1" s="1"/>
  <c r="AH18" i="1"/>
  <c r="AF18" i="1"/>
  <c r="S16" i="1"/>
  <c r="V18" i="1"/>
  <c r="S18" i="1"/>
  <c r="Q19" i="1"/>
  <c r="AL23" i="1"/>
  <c r="S23" i="1"/>
  <c r="V15" i="1"/>
  <c r="X15" i="1" s="1"/>
  <c r="AK15" i="1" s="1"/>
  <c r="AK23" i="1" s="1"/>
  <c r="U23" i="1"/>
  <c r="AD20" i="1" l="1"/>
  <c r="AE20" i="1"/>
  <c r="AE24" i="1" s="1"/>
  <c r="AM15" i="1"/>
  <c r="AO15" i="1" s="1"/>
  <c r="W18" i="1"/>
  <c r="X18" i="1"/>
  <c r="AK18" i="1" s="1"/>
  <c r="Q20" i="1"/>
  <c r="AI18" i="1"/>
  <c r="AJ18" i="1" s="1"/>
  <c r="R19" i="1"/>
  <c r="U19" i="1" s="1"/>
  <c r="W15" i="1"/>
  <c r="V23" i="1"/>
  <c r="V16" i="1"/>
  <c r="X16" i="1" s="1"/>
  <c r="AK16" i="1" s="1"/>
  <c r="AM16" i="1" s="1"/>
  <c r="AO16" i="1" s="1"/>
  <c r="AF19" i="1"/>
  <c r="AI19" i="1" s="1"/>
  <c r="AL19" i="1" s="1"/>
  <c r="AH19" i="1"/>
  <c r="AF20" i="1" l="1"/>
  <c r="AI20" i="1" s="1"/>
  <c r="AI24" i="1" s="1"/>
  <c r="AM23" i="1"/>
  <c r="AH20" i="1"/>
  <c r="AH25" i="1" s="1"/>
  <c r="AE25" i="1"/>
  <c r="P24" i="1"/>
  <c r="P25" i="1"/>
  <c r="AJ19" i="1"/>
  <c r="R20" i="1"/>
  <c r="Q25" i="1"/>
  <c r="W23" i="1"/>
  <c r="Q24" i="1"/>
  <c r="S19" i="1"/>
  <c r="AO23" i="1"/>
  <c r="AH24" i="1"/>
  <c r="AL18" i="1"/>
  <c r="AM18" i="1" s="1"/>
  <c r="W16" i="1"/>
  <c r="AJ20" i="1" l="1"/>
  <c r="AL20" i="1"/>
  <c r="AI25" i="1"/>
  <c r="AF24" i="1"/>
  <c r="AF25" i="1"/>
  <c r="R25" i="1"/>
  <c r="U20" i="1"/>
  <c r="V20" i="1" s="1"/>
  <c r="R24" i="1"/>
  <c r="V19" i="1"/>
  <c r="X19" i="1" s="1"/>
  <c r="AK19" i="1" s="1"/>
  <c r="AM19" i="1" s="1"/>
  <c r="AO19" i="1" s="1"/>
  <c r="S20" i="1"/>
  <c r="S25" i="1" s="1"/>
  <c r="AO18" i="1"/>
  <c r="AL24" i="1"/>
  <c r="AL25" i="1"/>
  <c r="W20" i="1" l="1"/>
  <c r="X20" i="1"/>
  <c r="AK20" i="1" s="1"/>
  <c r="AM20" i="1" s="1"/>
  <c r="AK25" i="1"/>
  <c r="AM25" i="1"/>
  <c r="AK24" i="1"/>
  <c r="AM24" i="1"/>
  <c r="S24" i="1"/>
  <c r="U24" i="1"/>
  <c r="U25" i="1"/>
  <c r="W19" i="1"/>
  <c r="V25" i="1"/>
  <c r="V24" i="1"/>
  <c r="AO20" i="1"/>
  <c r="AO25" i="1" s="1"/>
  <c r="W25" i="1" l="1"/>
  <c r="W24" i="1"/>
  <c r="AO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L10" authorId="0" shapeId="0" xr:uid="{B411FDA7-C045-9741-A977-9AE75DFEC0D0}">
      <text>
        <r>
          <rPr>
            <b/>
            <sz val="10"/>
            <color rgb="FF000000"/>
            <rFont val="Tahoma"/>
            <family val="2"/>
          </rPr>
          <t>Kidsoft:</t>
        </r>
        <r>
          <rPr>
            <sz val="10"/>
            <color rgb="FF000000"/>
            <rFont val="Tahoma"/>
            <family val="2"/>
          </rPr>
          <t xml:space="preserve">
</t>
        </r>
        <r>
          <rPr>
            <sz val="10"/>
            <color rgb="FF000000"/>
            <rFont val="Tahoma"/>
            <family val="2"/>
          </rPr>
          <t>The CCS hours consumed for this session.</t>
        </r>
      </text>
    </comment>
    <comment ref="X10" authorId="0" shapeId="0" xr:uid="{2ED422ED-A308-5D43-8C30-159E081807C1}">
      <text>
        <r>
          <rPr>
            <b/>
            <sz val="10"/>
            <color rgb="FF000000"/>
            <rFont val="Tahoma"/>
            <family val="2"/>
          </rPr>
          <t xml:space="preserve">Kidsoft:
</t>
        </r>
        <r>
          <rPr>
            <sz val="10"/>
            <color rgb="FF000000"/>
            <rFont val="Tahoma"/>
            <family val="2"/>
          </rPr>
          <t>The Free Kindy hours consumed for this Kindy session.</t>
        </r>
      </text>
    </comment>
    <comment ref="B12" authorId="0" shapeId="0" xr:uid="{C75D547D-E14B-F543-8D18-F510CF5D57C3}">
      <text>
        <r>
          <rPr>
            <b/>
            <sz val="10"/>
            <color rgb="FF000000"/>
            <rFont val="Tahoma"/>
            <family val="2"/>
          </rPr>
          <t>Kidsoft:</t>
        </r>
        <r>
          <rPr>
            <sz val="10"/>
            <color rgb="FF000000"/>
            <rFont val="Tahoma"/>
            <family val="2"/>
          </rPr>
          <t xml:space="preserve">
</t>
        </r>
        <r>
          <rPr>
            <sz val="10"/>
            <color rgb="FF000000"/>
            <rFont val="Tahoma"/>
            <family val="2"/>
          </rPr>
          <t>The Parent's CCS Withholding Percentage. Free Kindy will only be paid up to 5% withholding. If the amount is different to 5%, the estimated CCS Subsidy will be recalculated back to a 5% withholding rate.</t>
        </r>
      </text>
    </comment>
    <comment ref="B14" authorId="0" shapeId="0" xr:uid="{C287C9B0-31A4-5E4A-AA6C-A28A61318C0A}">
      <text>
        <r>
          <rPr>
            <b/>
            <sz val="10"/>
            <color rgb="FF000000"/>
            <rFont val="Tahoma"/>
            <family val="2"/>
          </rPr>
          <t xml:space="preserve">Kidsoft:
</t>
        </r>
        <r>
          <rPr>
            <sz val="10"/>
            <color rgb="FF000000"/>
            <rFont val="Tahoma"/>
            <family val="2"/>
          </rPr>
          <t>Start time needs to be in 24hour format, eg 7am will be 7:00</t>
        </r>
      </text>
    </comment>
    <comment ref="B15" authorId="0" shapeId="0" xr:uid="{C91FB0FB-3C08-A44C-BA8C-BF667975B65B}">
      <text>
        <r>
          <rPr>
            <b/>
            <sz val="10"/>
            <color rgb="FF000000"/>
            <rFont val="Tahoma"/>
            <family val="2"/>
          </rPr>
          <t>Kidsoft:</t>
        </r>
        <r>
          <rPr>
            <sz val="10"/>
            <color rgb="FF000000"/>
            <rFont val="Tahoma"/>
            <family val="2"/>
          </rPr>
          <t xml:space="preserve">
</t>
        </r>
        <r>
          <rPr>
            <sz val="10"/>
            <color rgb="FF000000"/>
            <rFont val="Tahoma"/>
            <family val="2"/>
          </rPr>
          <t>End time needs to be in 24hour format, eg 3pm will be 15:00</t>
        </r>
      </text>
    </comment>
    <comment ref="B16" authorId="0" shapeId="0" xr:uid="{4F460416-EC58-E34E-866E-94F179940625}">
      <text>
        <r>
          <rPr>
            <b/>
            <sz val="10"/>
            <color rgb="FF000000"/>
            <rFont val="Tahoma"/>
            <family val="2"/>
          </rPr>
          <t>Kidsoft:</t>
        </r>
        <r>
          <rPr>
            <sz val="10"/>
            <color rgb="FF000000"/>
            <rFont val="Tahoma"/>
            <family val="2"/>
          </rPr>
          <t xml:space="preserve">
</t>
        </r>
        <r>
          <rPr>
            <sz val="10"/>
            <color rgb="FF000000"/>
            <rFont val="Tahoma"/>
            <family val="2"/>
          </rPr>
          <t>Is the Session covered by CCS Hours?</t>
        </r>
      </text>
    </comment>
    <comment ref="B17" authorId="0" shapeId="0" xr:uid="{B66759CB-686D-E74D-BBD2-BAF57C0FA992}">
      <text>
        <r>
          <rPr>
            <b/>
            <sz val="10"/>
            <color rgb="FF000000"/>
            <rFont val="Tahoma"/>
            <family val="2"/>
          </rPr>
          <t xml:space="preserve">Kidsoft:
</t>
        </r>
        <r>
          <rPr>
            <sz val="10"/>
            <color rgb="FF000000"/>
            <rFont val="Tahoma"/>
            <family val="2"/>
          </rPr>
          <t xml:space="preserve">Start time needs to be in 24hour format, eg 7am will be 7:00
</t>
        </r>
      </text>
    </comment>
    <comment ref="B18" authorId="0" shapeId="0" xr:uid="{5D0B9B19-5A52-6548-9D32-9CE9FCA54F22}">
      <text>
        <r>
          <rPr>
            <b/>
            <sz val="10"/>
            <color rgb="FF000000"/>
            <rFont val="Tahoma"/>
            <family val="2"/>
          </rPr>
          <t xml:space="preserve">Kidsoft:
</t>
        </r>
        <r>
          <rPr>
            <sz val="10"/>
            <color rgb="FF000000"/>
            <rFont val="Tahoma"/>
            <family val="2"/>
          </rPr>
          <t xml:space="preserve">End time needs to be in 24hour format, eg 3pm will be 15:00
</t>
        </r>
      </text>
    </comment>
    <comment ref="B20" authorId="0" shapeId="0" xr:uid="{9CB4431E-D3B1-0E4D-B37C-091BE1714A6F}">
      <text>
        <r>
          <rPr>
            <b/>
            <sz val="10"/>
            <color rgb="FF000000"/>
            <rFont val="Tahoma"/>
            <family val="2"/>
          </rPr>
          <t>Kidsoft:</t>
        </r>
        <r>
          <rPr>
            <sz val="10"/>
            <color rgb="FF000000"/>
            <rFont val="Tahoma"/>
            <family val="2"/>
          </rPr>
          <t xml:space="preserve">
</t>
        </r>
        <r>
          <rPr>
            <sz val="10"/>
            <color rgb="FF000000"/>
            <rFont val="Tahoma"/>
            <family val="2"/>
          </rPr>
          <t>CCS Entitlement Amount (Subsidy) which excludes the Withholding amount.</t>
        </r>
      </text>
    </comment>
    <comment ref="B21" authorId="0" shapeId="0" xr:uid="{CAC4254D-DA6A-AF44-9132-56F9F4340265}">
      <text>
        <r>
          <rPr>
            <b/>
            <sz val="10"/>
            <color rgb="FF000000"/>
            <rFont val="Tahoma"/>
            <family val="2"/>
          </rPr>
          <t>Kidsoft:</t>
        </r>
        <r>
          <rPr>
            <sz val="10"/>
            <color rgb="FF000000"/>
            <rFont val="Tahoma"/>
            <family val="2"/>
          </rPr>
          <t xml:space="preserve">
</t>
        </r>
        <r>
          <rPr>
            <sz val="10"/>
            <color rgb="FF000000"/>
            <rFont val="Tahoma"/>
            <family val="2"/>
          </rPr>
          <t>Estimated Gap after CCS and before Free Kindy.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D10" authorId="0" shapeId="0" xr:uid="{949C1CCF-6026-E14E-BC21-2BABF1618036}">
      <text>
        <r>
          <rPr>
            <b/>
            <sz val="10"/>
            <color rgb="FF000000"/>
            <rFont val="Tahoma"/>
            <family val="2"/>
          </rPr>
          <t>Kidsoft:</t>
        </r>
        <r>
          <rPr>
            <sz val="10"/>
            <color rgb="FF000000"/>
            <rFont val="Tahoma"/>
            <family val="2"/>
          </rPr>
          <t xml:space="preserve">
</t>
        </r>
        <r>
          <rPr>
            <sz val="10"/>
            <color rgb="FF000000"/>
            <rFont val="Tahoma"/>
            <family val="2"/>
          </rPr>
          <t>Where a child is in shared care or another arrangement where there are different CCS entitlements held for different enrolments the child is attending under, change the identifier here. Ensure that for each unique identifier the CCS %, CCS Hours and Withholding are the same.</t>
        </r>
      </text>
    </comment>
    <comment ref="E10" authorId="0" shapeId="0" xr:uid="{93AA0117-F34C-DB41-97FB-D1FB811F3941}">
      <text>
        <r>
          <rPr>
            <b/>
            <sz val="10"/>
            <color rgb="FF000000"/>
            <rFont val="Tahoma"/>
            <family val="2"/>
          </rPr>
          <t xml:space="preserve">Kidsoft:
</t>
        </r>
        <r>
          <rPr>
            <sz val="10"/>
            <color rgb="FF000000"/>
            <rFont val="Tahoma"/>
            <family val="2"/>
          </rPr>
          <t>CCS Entitlement Percentage.</t>
        </r>
      </text>
    </comment>
    <comment ref="F10" authorId="0" shapeId="0" xr:uid="{DD3B657A-F810-B047-A6C4-7ABF2586E74C}">
      <text>
        <r>
          <rPr>
            <b/>
            <sz val="10"/>
            <color rgb="FF000000"/>
            <rFont val="Tahoma"/>
            <family val="2"/>
          </rPr>
          <t>Kidsoft:</t>
        </r>
        <r>
          <rPr>
            <sz val="10"/>
            <color rgb="FF000000"/>
            <rFont val="Tahoma"/>
            <family val="2"/>
          </rPr>
          <t xml:space="preserve">
</t>
        </r>
        <r>
          <rPr>
            <sz val="10"/>
            <color rgb="FF000000"/>
            <rFont val="Tahoma"/>
            <family val="2"/>
          </rPr>
          <t>CCS Entitlement Hours for the fortnight.</t>
        </r>
      </text>
    </comment>
    <comment ref="G10" authorId="0" shapeId="0" xr:uid="{17CAF235-604A-9948-94D4-A432F2C022CF}">
      <text>
        <r>
          <rPr>
            <b/>
            <sz val="10"/>
            <color rgb="FF000000"/>
            <rFont val="Tahoma"/>
            <family val="2"/>
          </rPr>
          <t xml:space="preserve">Kidsoft:
</t>
        </r>
        <r>
          <rPr>
            <sz val="10"/>
            <color rgb="FF000000"/>
            <rFont val="Tahoma"/>
            <family val="2"/>
          </rPr>
          <t>The Parent's CCS Withholding Percentage. Free Kindy will only be paid up to 5% withholding. If the amount is different to 5%, the estimated CCS Subsidy will be recalculated back to a 5% withholding rate.</t>
        </r>
      </text>
    </comment>
    <comment ref="J10" authorId="0" shapeId="0" xr:uid="{7F6E52D1-CA5D-0B4B-821E-9FACD445D1D0}">
      <text>
        <r>
          <rPr>
            <b/>
            <sz val="10"/>
            <color rgb="FF000000"/>
            <rFont val="Tahoma"/>
            <family val="2"/>
          </rPr>
          <t>Kidsoft:</t>
        </r>
        <r>
          <rPr>
            <sz val="10"/>
            <color rgb="FF000000"/>
            <rFont val="Tahoma"/>
            <family val="2"/>
          </rPr>
          <t xml:space="preserve">
</t>
        </r>
        <r>
          <rPr>
            <sz val="10"/>
            <color rgb="FF000000"/>
            <rFont val="Tahoma"/>
            <family val="2"/>
          </rPr>
          <t>End time needs to be in 24hour format, eg 3pm will be 15:00</t>
        </r>
      </text>
    </comment>
    <comment ref="O10" authorId="0" shapeId="0" xr:uid="{0A7DD046-1F89-BB48-A6EB-DC7222BEE4CC}">
      <text>
        <r>
          <rPr>
            <b/>
            <sz val="10"/>
            <color rgb="FF000000"/>
            <rFont val="Tahoma"/>
            <family val="2"/>
          </rPr>
          <t>Kidsoft:</t>
        </r>
        <r>
          <rPr>
            <sz val="10"/>
            <color rgb="FF000000"/>
            <rFont val="Tahoma"/>
            <family val="2"/>
          </rPr>
          <t xml:space="preserve">
</t>
        </r>
        <r>
          <rPr>
            <sz val="10"/>
            <color rgb="FF000000"/>
            <rFont val="Tahoma"/>
            <family val="2"/>
          </rPr>
          <t>The CCS hours consumed for this session.</t>
        </r>
      </text>
    </comment>
    <comment ref="R10" authorId="0" shapeId="0" xr:uid="{5954AA43-37EC-E84F-A053-121052A4872D}">
      <text>
        <r>
          <rPr>
            <b/>
            <sz val="10"/>
            <color rgb="FF000000"/>
            <rFont val="Tahoma"/>
            <family val="2"/>
          </rPr>
          <t>Kidsoft:</t>
        </r>
        <r>
          <rPr>
            <sz val="10"/>
            <color rgb="FF000000"/>
            <rFont val="Tahoma"/>
            <family val="2"/>
          </rPr>
          <t xml:space="preserve">
</t>
        </r>
        <r>
          <rPr>
            <sz val="10"/>
            <color rgb="FF000000"/>
            <rFont val="Tahoma"/>
            <family val="2"/>
          </rPr>
          <t>CCS Entitlement Amount (Subsidy) which excludes the Withholding amount.</t>
        </r>
      </text>
    </comment>
    <comment ref="S10" authorId="0" shapeId="0" xr:uid="{F00AA045-3366-BE4C-8AA8-84FA5AB5BA2C}">
      <text>
        <r>
          <rPr>
            <b/>
            <sz val="10"/>
            <color rgb="FF000000"/>
            <rFont val="Tahoma"/>
            <family val="2"/>
          </rPr>
          <t>Kidsoft:</t>
        </r>
        <r>
          <rPr>
            <sz val="10"/>
            <color rgb="FF000000"/>
            <rFont val="Tahoma"/>
            <family val="2"/>
          </rPr>
          <t xml:space="preserve">
</t>
        </r>
        <r>
          <rPr>
            <sz val="10"/>
            <color rgb="FF000000"/>
            <rFont val="Tahoma"/>
            <family val="2"/>
          </rPr>
          <t>Estimated Gap after CCS and before Free Kindy.</t>
        </r>
      </text>
    </comment>
    <comment ref="AA10" authorId="0" shapeId="0" xr:uid="{CA2F572F-0BF5-9D45-BA7E-6C7A68981C13}">
      <text>
        <r>
          <rPr>
            <b/>
            <sz val="10"/>
            <color rgb="FF000000"/>
            <rFont val="Tahoma"/>
            <family val="2"/>
          </rPr>
          <t xml:space="preserve">Kidsoft:
</t>
        </r>
        <r>
          <rPr>
            <sz val="10"/>
            <color rgb="FF000000"/>
            <rFont val="Tahoma"/>
            <family val="2"/>
          </rPr>
          <t xml:space="preserve">End time needs to be in 24hour format, eg 3pm will be 15:00
</t>
        </r>
      </text>
    </comment>
    <comment ref="AG10" authorId="0" shapeId="0" xr:uid="{914C5943-46FF-4844-93A0-B10CE0937F04}">
      <text>
        <r>
          <rPr>
            <b/>
            <sz val="10"/>
            <color rgb="FF000000"/>
            <rFont val="Tahoma"/>
            <family val="2"/>
          </rPr>
          <t xml:space="preserve">Kidsoft:
</t>
        </r>
        <r>
          <rPr>
            <sz val="10"/>
            <color rgb="FF000000"/>
            <rFont val="Tahoma"/>
            <family val="2"/>
          </rPr>
          <t>The Free Kindy hours consumed for this Kindy session.</t>
        </r>
      </text>
    </comment>
  </commentList>
</comments>
</file>

<file path=xl/sharedStrings.xml><?xml version="1.0" encoding="utf-8"?>
<sst xmlns="http://schemas.openxmlformats.org/spreadsheetml/2006/main" count="121" uniqueCount="69">
  <si>
    <t>Powered By</t>
  </si>
  <si>
    <t>In Partnership with</t>
  </si>
  <si>
    <t>Free Kindy Calculator</t>
  </si>
  <si>
    <t>How the Funding Works</t>
  </si>
  <si>
    <t>Kindergarten programs can be provided over two or three days, at a long day care service.
Services may have different offerings such as two 7.5 days or three 5 hour days, across the week.
If a child attends kindy in a long day care, families will need to pay for the hours of care before and after the kindy program. These costs may be covered in part by CCS. The Queensland Government funds 15 hours per week, 40 weeks per year of free kindy.</t>
  </si>
  <si>
    <t>More details available on the Free Kindy website here.</t>
  </si>
  <si>
    <t>How to use this Calculator</t>
  </si>
  <si>
    <t>Hover over the red triangle for an explanation of the cells.</t>
  </si>
  <si>
    <t>Daily</t>
  </si>
  <si>
    <t>The Daily Calculator allows you to get an estimate of a Family's out of pocket costs for a single day.
Simply enter the session details in the green cells and the calculator will show you the estimated gap fee after CCS and Kindy Funding.
*NB. You can only choose whether the session is covered by their CCS hours or not. If you want to see the mix where the Family may consume their CCS hours early, please use the Fortnightly (Detailed) calculator.</t>
  </si>
  <si>
    <t>Fortnightly (Detailed)</t>
  </si>
  <si>
    <t>The Fortnightly Calculator allows you to get a full picture of a Family's out of pocket costs by taking into consideration their CCS hours for the full fortnight.
Simply enter the session details in the green cells along with the Kindy Program hours and the calculator will show you the estimated gap fee after CCS and Kindy Funding.</t>
  </si>
  <si>
    <t>Free Kindy Calculator - Daily</t>
  </si>
  <si>
    <t>Instructions</t>
  </si>
  <si>
    <t>Session Hours</t>
  </si>
  <si>
    <t>Session Hours Decimal</t>
  </si>
  <si>
    <t>Hourly Session Fee</t>
  </si>
  <si>
    <t>Applicable CCS Hourly Rate</t>
  </si>
  <si>
    <t>Applicable CCS Hours</t>
  </si>
  <si>
    <t>CCS Amount (Including Witholding)</t>
  </si>
  <si>
    <t>Withholdings</t>
  </si>
  <si>
    <t xml:space="preserve">Normalise CCS Withholding at 5% </t>
  </si>
  <si>
    <t>Normalised CCS Entitlement Less 5% Withholding</t>
  </si>
  <si>
    <t>Normalised Gap</t>
  </si>
  <si>
    <t>Normalised CCS per Hour</t>
  </si>
  <si>
    <t>Kindy Hours</t>
  </si>
  <si>
    <t>Kindy Hours Decimal</t>
  </si>
  <si>
    <t>CCS Funding for Kindy Hours</t>
  </si>
  <si>
    <t>CCS Funded Kindy Hours</t>
  </si>
  <si>
    <t>Non-CCS Funded Kindy Hours</t>
  </si>
  <si>
    <t>Applicable Kindy Hours</t>
  </si>
  <si>
    <t>Applicable Kindy Funding CCS Funded Hours</t>
  </si>
  <si>
    <t>Applicable Kindy Funding Non-CCS Funded Hours</t>
  </si>
  <si>
    <t>Check</t>
  </si>
  <si>
    <t>Applicable Kindy Funding CCS Funded Amount</t>
  </si>
  <si>
    <t>Applicable Kindy Funding Non-CCS Funded Amount</t>
  </si>
  <si>
    <t>CCS %</t>
  </si>
  <si>
    <t>CCS Withholding %</t>
  </si>
  <si>
    <t>Session Fee</t>
  </si>
  <si>
    <t>Session Start</t>
  </si>
  <si>
    <t>Session End</t>
  </si>
  <si>
    <t>Session Covered by CCS Hours</t>
  </si>
  <si>
    <t>Y</t>
  </si>
  <si>
    <t>Kindy Program Start</t>
  </si>
  <si>
    <t>Kindy Program End</t>
  </si>
  <si>
    <t>CCS Entitlement Amount
(Less Witholding)</t>
  </si>
  <si>
    <t>Estimated Gap Fee before Free Kindy</t>
  </si>
  <si>
    <t>Applicable Kindy Funding Amount</t>
  </si>
  <si>
    <t>Estimated Gap Fee after CSS &amp; Free Kindy</t>
  </si>
  <si>
    <t>Free Kindy Calculator - Fortnightly (Detailed)</t>
  </si>
  <si>
    <t>Week</t>
  </si>
  <si>
    <t>Day</t>
  </si>
  <si>
    <t>Enrolment ID</t>
  </si>
  <si>
    <t>Fortnightly CCS Hours</t>
  </si>
  <si>
    <t>Mon</t>
  </si>
  <si>
    <t>E1</t>
  </si>
  <si>
    <t>Tue</t>
  </si>
  <si>
    <t>Wed</t>
  </si>
  <si>
    <t>Thu</t>
  </si>
  <si>
    <t>Fri</t>
  </si>
  <si>
    <t>Week 1 Totals</t>
  </si>
  <si>
    <t>Week 2 Totals</t>
  </si>
  <si>
    <t>Fortnight Total</t>
  </si>
  <si>
    <t>FY26</t>
  </si>
  <si>
    <t>FY25</t>
  </si>
  <si>
    <t>FY24</t>
  </si>
  <si>
    <t>CCS Hourly Rate Cap</t>
  </si>
  <si>
    <t>Kindy Hours per Week</t>
  </si>
  <si>
    <t>Kindy Hours per Fortnight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</si>
</sst>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0"/>
    <numFmt numFmtId="165" formatCode="_(* #,##0.0000_);_(* \(#,##0.0000\);_(* &quot;-&quot;??_);_(@_)"/>
  </numFmts>
  <fonts count="13">
    <font>
      <sz val="12"/>
      <color theme="1"/>
      <name val="Calibri"/>
      <family val="2"/>
      <scheme val="minor"/>
    </font>
    <font>
      <sz val="12"/>
      <color theme="1"/>
      <name val="Calibri"/>
      <family val="2"/>
      <scheme val="minor"/>
    </font>
    <font>
      <sz val="12"/>
      <color rgb="FF3F3F76"/>
      <name val="Calibri"/>
      <family val="2"/>
      <scheme val="minor"/>
    </font>
    <font>
      <b/>
      <sz val="12"/>
      <color theme="1"/>
      <name val="Calibri"/>
      <family val="2"/>
      <scheme val="minor"/>
    </font>
    <font>
      <b/>
      <sz val="14"/>
      <color theme="1"/>
      <name val="Calibri"/>
      <family val="2"/>
      <scheme val="minor"/>
    </font>
    <font>
      <b/>
      <sz val="18"/>
      <color theme="1"/>
      <name val="Calibri"/>
      <family val="2"/>
      <scheme val="minor"/>
    </font>
    <font>
      <sz val="8"/>
      <name val="Calibri"/>
      <family val="2"/>
      <scheme val="minor"/>
    </font>
    <font>
      <sz val="10"/>
      <color rgb="FF000000"/>
      <name val="Tahoma"/>
      <family val="2"/>
    </font>
    <font>
      <b/>
      <sz val="10"/>
      <color rgb="FF000000"/>
      <name val="Tahoma"/>
      <family val="2"/>
    </font>
    <font>
      <sz val="14"/>
      <color theme="1"/>
      <name val="Calibri"/>
      <family val="2"/>
      <scheme val="minor"/>
    </font>
    <font>
      <b/>
      <sz val="28"/>
      <color theme="1"/>
      <name val="Calibri"/>
      <family val="2"/>
      <scheme val="minor"/>
    </font>
    <font>
      <u/>
      <sz val="12"/>
      <color theme="10"/>
      <name val="Calibri"/>
      <family val="2"/>
      <scheme val="minor"/>
    </font>
    <font>
      <b/>
      <u/>
      <sz val="12"/>
      <color theme="10"/>
      <name val="Calibri"/>
      <family val="2"/>
      <scheme val="minor"/>
    </font>
  </fonts>
  <fills count="5">
    <fill>
      <patternFill patternType="none"/>
    </fill>
    <fill>
      <patternFill patternType="gray125"/>
    </fill>
    <fill>
      <patternFill patternType="solid">
        <fgColor rgb="FFFFCC99"/>
      </patternFill>
    </fill>
    <fill>
      <patternFill patternType="solid">
        <fgColor theme="0"/>
        <bgColor indexed="64"/>
      </patternFill>
    </fill>
    <fill>
      <patternFill patternType="solid">
        <fgColor rgb="FF2ED09A"/>
        <bgColor indexed="64"/>
      </patternFill>
    </fill>
  </fills>
  <borders count="5">
    <border>
      <left/>
      <right/>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2" fillId="2" borderId="1" applyNumberFormat="0" applyAlignment="0" applyProtection="0"/>
    <xf numFmtId="0" fontId="11" fillId="0" borderId="0" applyNumberFormat="0" applyFill="0" applyBorder="0" applyAlignment="0" applyProtection="0"/>
  </cellStyleXfs>
  <cellXfs count="32">
    <xf numFmtId="0" fontId="0" fillId="0" borderId="0" xfId="0"/>
    <xf numFmtId="0" fontId="0" fillId="3" borderId="0" xfId="0" applyFill="1"/>
    <xf numFmtId="0" fontId="3" fillId="3" borderId="0" xfId="0" applyFont="1" applyFill="1"/>
    <xf numFmtId="0" fontId="10" fillId="3" borderId="0" xfId="0" applyFont="1" applyFill="1"/>
    <xf numFmtId="0" fontId="5" fillId="3" borderId="0" xfId="0" applyFont="1" applyFill="1" applyAlignment="1">
      <alignment vertical="center"/>
    </xf>
    <xf numFmtId="0" fontId="11" fillId="3" borderId="0" xfId="3" applyFill="1"/>
    <xf numFmtId="0" fontId="3" fillId="3" borderId="0" xfId="0" applyFont="1" applyFill="1" applyAlignment="1">
      <alignment wrapText="1"/>
    </xf>
    <xf numFmtId="20" fontId="0" fillId="3" borderId="0" xfId="0" applyNumberFormat="1" applyFill="1"/>
    <xf numFmtId="164" fontId="0" fillId="3" borderId="0" xfId="0" applyNumberFormat="1" applyFill="1" applyAlignment="1">
      <alignment horizontal="center"/>
    </xf>
    <xf numFmtId="43" fontId="0" fillId="3" borderId="0" xfId="0" applyNumberFormat="1" applyFill="1"/>
    <xf numFmtId="164" fontId="0" fillId="3" borderId="0" xfId="0" applyNumberFormat="1" applyFill="1"/>
    <xf numFmtId="43" fontId="0" fillId="3" borderId="0" xfId="1" applyFont="1" applyFill="1"/>
    <xf numFmtId="165" fontId="0" fillId="3" borderId="0" xfId="0" applyNumberFormat="1" applyFill="1"/>
    <xf numFmtId="0" fontId="0" fillId="3" borderId="2" xfId="0" applyFill="1" applyBorder="1"/>
    <xf numFmtId="43" fontId="3" fillId="3" borderId="3" xfId="1" applyFont="1" applyFill="1" applyBorder="1"/>
    <xf numFmtId="9" fontId="0" fillId="3" borderId="0" xfId="0" applyNumberFormat="1" applyFill="1"/>
    <xf numFmtId="43" fontId="0" fillId="3" borderId="3" xfId="1" applyFont="1" applyFill="1" applyBorder="1"/>
    <xf numFmtId="0" fontId="1" fillId="4" borderId="1" xfId="2" applyFont="1" applyFill="1" applyProtection="1">
      <protection locked="0"/>
    </xf>
    <xf numFmtId="9" fontId="1" fillId="4" borderId="1" xfId="2" applyNumberFormat="1" applyFont="1" applyFill="1" applyProtection="1">
      <protection locked="0"/>
    </xf>
    <xf numFmtId="20" fontId="1" fillId="4" borderId="1" xfId="2" applyNumberFormat="1" applyFont="1" applyFill="1" applyProtection="1">
      <protection locked="0"/>
    </xf>
    <xf numFmtId="0" fontId="1" fillId="4" borderId="1" xfId="2" applyFont="1" applyFill="1" applyAlignment="1" applyProtection="1">
      <alignment horizontal="right"/>
      <protection locked="0"/>
    </xf>
    <xf numFmtId="43" fontId="3" fillId="3" borderId="4" xfId="1" applyFont="1" applyFill="1" applyBorder="1"/>
    <xf numFmtId="0" fontId="4" fillId="3" borderId="0" xfId="0" applyFont="1" applyFill="1"/>
    <xf numFmtId="0" fontId="9" fillId="3" borderId="0" xfId="0" applyFont="1" applyFill="1"/>
    <xf numFmtId="0" fontId="0" fillId="3" borderId="0" xfId="0" applyFill="1" applyAlignment="1">
      <alignment horizontal="left" vertical="top" wrapText="1"/>
    </xf>
    <xf numFmtId="0" fontId="12" fillId="3" borderId="0" xfId="3" applyFont="1" applyFill="1"/>
    <xf numFmtId="43" fontId="0" fillId="3" borderId="2" xfId="0" applyNumberFormat="1" applyFill="1" applyBorder="1"/>
    <xf numFmtId="10" fontId="1" fillId="4" borderId="1" xfId="2" applyNumberFormat="1" applyFont="1" applyFill="1" applyProtection="1">
      <protection locked="0"/>
    </xf>
    <xf numFmtId="0" fontId="0" fillId="3" borderId="0" xfId="0" applyFill="1" applyAlignment="1">
      <alignment horizontal="left" wrapText="1"/>
    </xf>
    <xf numFmtId="0" fontId="0" fillId="3" borderId="0" xfId="0" applyFill="1" applyAlignment="1">
      <alignment horizontal="left" vertical="top" wrapText="1"/>
    </xf>
    <xf numFmtId="0" fontId="11" fillId="3" borderId="0" xfId="3" applyFill="1" applyAlignment="1">
      <alignment horizontal="left"/>
    </xf>
    <xf numFmtId="0" fontId="0" fillId="3" borderId="0" xfId="0" applyFill="1" applyAlignment="1">
      <alignment horizontal="center"/>
    </xf>
  </cellXfs>
  <cellStyles count="4">
    <cellStyle name="Comma" xfId="1" builtinId="3"/>
    <cellStyle name="Hyperlink" xfId="3" builtinId="8"/>
    <cellStyle name="Input" xfId="2" builtinId="20"/>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7D6F"/>
      <color rgb="FF2ED09A"/>
      <color rgb="FF60D6FF"/>
      <color rgb="FF403E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hyperlink" Target="https://qld.childcarealliance.org.au/" TargetMode="Externa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png"/><Relationship Id="rId5" Type="http://schemas.openxmlformats.org/officeDocument/2006/relationships/hyperlink" Target="https://kidsoft.com.au/" TargetMode="External"/><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ttps://qld.childcarealliance.org.au/" TargetMode="External"/><Relationship Id="rId1" Type="http://schemas.openxmlformats.org/officeDocument/2006/relationships/image" Target="../media/image1.png"/><Relationship Id="rId5" Type="http://schemas.openxmlformats.org/officeDocument/2006/relationships/image" Target="../media/image4.png"/><Relationship Id="rId4" Type="http://schemas.openxmlformats.org/officeDocument/2006/relationships/hyperlink" Target="https://kidsoft.com.au/"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ttps://qld.childcarealliance.org.au/" TargetMode="External"/><Relationship Id="rId1" Type="http://schemas.openxmlformats.org/officeDocument/2006/relationships/image" Target="../media/image1.png"/><Relationship Id="rId5" Type="http://schemas.openxmlformats.org/officeDocument/2006/relationships/image" Target="../media/image4.png"/><Relationship Id="rId4" Type="http://schemas.openxmlformats.org/officeDocument/2006/relationships/hyperlink" Target="https://kidsoft.com.au/"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120650</xdr:colOff>
      <xdr:row>1</xdr:row>
      <xdr:rowOff>12700</xdr:rowOff>
    </xdr:from>
    <xdr:to>
      <xdr:col>3</xdr:col>
      <xdr:colOff>266700</xdr:colOff>
      <xdr:row>6</xdr:row>
      <xdr:rowOff>5116</xdr:rowOff>
    </xdr:to>
    <xdr:pic>
      <xdr:nvPicPr>
        <xdr:cNvPr id="4" name="Picture 3">
          <a:extLst>
            <a:ext uri="{FF2B5EF4-FFF2-40B4-BE49-F238E27FC236}">
              <a16:creationId xmlns:a16="http://schemas.microsoft.com/office/drawing/2014/main" id="{D54D8E85-7518-E481-2191-8AC67C65FC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215900"/>
          <a:ext cx="1797050" cy="10084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8</xdr:row>
      <xdr:rowOff>0</xdr:rowOff>
    </xdr:from>
    <xdr:to>
      <xdr:col>10</xdr:col>
      <xdr:colOff>241300</xdr:colOff>
      <xdr:row>14</xdr:row>
      <xdr:rowOff>65469</xdr:rowOff>
    </xdr:to>
    <xdr:pic>
      <xdr:nvPicPr>
        <xdr:cNvPr id="5" name="Picture 4" descr="This infographic shows how free kindy applies across the day, in a long day care service - including Queensland Government and Australian Government Child Care Subsidy (if eligible).">
          <a:extLst>
            <a:ext uri="{FF2B5EF4-FFF2-40B4-BE49-F238E27FC236}">
              <a16:creationId xmlns:a16="http://schemas.microsoft.com/office/drawing/2014/main" id="{9560A50B-3893-DFD5-5760-3F8E4BD766B4}"/>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9382" t="6175" r="13494" b="4631"/>
        <a:stretch/>
      </xdr:blipFill>
      <xdr:spPr bwMode="auto">
        <a:xfrm>
          <a:off x="4470401" y="1930400"/>
          <a:ext cx="3543300" cy="31388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25400</xdr:colOff>
      <xdr:row>2</xdr:row>
      <xdr:rowOff>50800</xdr:rowOff>
    </xdr:from>
    <xdr:to>
      <xdr:col>10</xdr:col>
      <xdr:colOff>355600</xdr:colOff>
      <xdr:row>5</xdr:row>
      <xdr:rowOff>168269</xdr:rowOff>
    </xdr:to>
    <xdr:pic>
      <xdr:nvPicPr>
        <xdr:cNvPr id="6" name="Picture 5">
          <a:hlinkClick xmlns:r="http://schemas.openxmlformats.org/officeDocument/2006/relationships" r:id="rId3"/>
          <a:extLst>
            <a:ext uri="{FF2B5EF4-FFF2-40B4-BE49-F238E27FC236}">
              <a16:creationId xmlns:a16="http://schemas.microsoft.com/office/drawing/2014/main" id="{BD601A3D-4AB1-CE7B-A946-DD2EF41153DB}"/>
            </a:ext>
          </a:extLst>
        </xdr:cNvPr>
        <xdr:cNvPicPr>
          <a:picLocks noChangeAspect="1"/>
        </xdr:cNvPicPr>
      </xdr:nvPicPr>
      <xdr:blipFill>
        <a:blip xmlns:r="http://schemas.openxmlformats.org/officeDocument/2006/relationships" r:embed="rId4"/>
        <a:stretch>
          <a:fillRect/>
        </a:stretch>
      </xdr:blipFill>
      <xdr:spPr>
        <a:xfrm>
          <a:off x="5816600" y="457200"/>
          <a:ext cx="2806700" cy="727069"/>
        </a:xfrm>
        <a:prstGeom prst="rect">
          <a:avLst/>
        </a:prstGeom>
      </xdr:spPr>
    </xdr:pic>
    <xdr:clientData/>
  </xdr:twoCellAnchor>
  <xdr:twoCellAnchor editAs="oneCell">
    <xdr:from>
      <xdr:col>4</xdr:col>
      <xdr:colOff>25401</xdr:colOff>
      <xdr:row>2</xdr:row>
      <xdr:rowOff>50801</xdr:rowOff>
    </xdr:from>
    <xdr:to>
      <xdr:col>6</xdr:col>
      <xdr:colOff>639803</xdr:colOff>
      <xdr:row>5</xdr:row>
      <xdr:rowOff>139700</xdr:rowOff>
    </xdr:to>
    <xdr:pic>
      <xdr:nvPicPr>
        <xdr:cNvPr id="2" name="Picture 1">
          <a:hlinkClick xmlns:r="http://schemas.openxmlformats.org/officeDocument/2006/relationships" r:id="rId5"/>
          <a:extLst>
            <a:ext uri="{FF2B5EF4-FFF2-40B4-BE49-F238E27FC236}">
              <a16:creationId xmlns:a16="http://schemas.microsoft.com/office/drawing/2014/main" id="{87BA7389-23AE-807E-1A26-8783D88CFE0D}"/>
            </a:ext>
          </a:extLst>
        </xdr:cNvPr>
        <xdr:cNvPicPr>
          <a:picLocks noChangeAspect="1"/>
        </xdr:cNvPicPr>
      </xdr:nvPicPr>
      <xdr:blipFill rotWithShape="1">
        <a:blip xmlns:r="http://schemas.openxmlformats.org/officeDocument/2006/relationships" r:embed="rId6"/>
        <a:srcRect l="11111" t="22551" r="10457" b="22734"/>
        <a:stretch>
          <a:fillRect/>
        </a:stretch>
      </xdr:blipFill>
      <xdr:spPr>
        <a:xfrm>
          <a:off x="2781301" y="457201"/>
          <a:ext cx="2265402" cy="6984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120650</xdr:colOff>
      <xdr:row>1</xdr:row>
      <xdr:rowOff>12700</xdr:rowOff>
    </xdr:from>
    <xdr:to>
      <xdr:col>1</xdr:col>
      <xdr:colOff>1917700</xdr:colOff>
      <xdr:row>6</xdr:row>
      <xdr:rowOff>5116</xdr:rowOff>
    </xdr:to>
    <xdr:pic>
      <xdr:nvPicPr>
        <xdr:cNvPr id="9" name="Picture 8">
          <a:extLst>
            <a:ext uri="{FF2B5EF4-FFF2-40B4-BE49-F238E27FC236}">
              <a16:creationId xmlns:a16="http://schemas.microsoft.com/office/drawing/2014/main" id="{DC018C63-F85C-704B-80B4-61CAE42999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215900"/>
          <a:ext cx="1797050" cy="10084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25400</xdr:colOff>
      <xdr:row>2</xdr:row>
      <xdr:rowOff>50800</xdr:rowOff>
    </xdr:from>
    <xdr:to>
      <xdr:col>30</xdr:col>
      <xdr:colOff>355600</xdr:colOff>
      <xdr:row>5</xdr:row>
      <xdr:rowOff>168269</xdr:rowOff>
    </xdr:to>
    <xdr:pic>
      <xdr:nvPicPr>
        <xdr:cNvPr id="2" name="Picture 1">
          <a:hlinkClick xmlns:r="http://schemas.openxmlformats.org/officeDocument/2006/relationships" r:id="rId2"/>
          <a:extLst>
            <a:ext uri="{FF2B5EF4-FFF2-40B4-BE49-F238E27FC236}">
              <a16:creationId xmlns:a16="http://schemas.microsoft.com/office/drawing/2014/main" id="{F2A4DC86-C2A0-CF47-A0AA-22DCD9580B49}"/>
            </a:ext>
          </a:extLst>
        </xdr:cNvPr>
        <xdr:cNvPicPr>
          <a:picLocks noChangeAspect="1"/>
        </xdr:cNvPicPr>
      </xdr:nvPicPr>
      <xdr:blipFill>
        <a:blip xmlns:r="http://schemas.openxmlformats.org/officeDocument/2006/relationships" r:embed="rId3"/>
        <a:stretch>
          <a:fillRect/>
        </a:stretch>
      </xdr:blipFill>
      <xdr:spPr>
        <a:xfrm>
          <a:off x="5257800" y="457200"/>
          <a:ext cx="2806700" cy="727069"/>
        </a:xfrm>
        <a:prstGeom prst="rect">
          <a:avLst/>
        </a:prstGeom>
      </xdr:spPr>
    </xdr:pic>
    <xdr:clientData/>
  </xdr:twoCellAnchor>
  <xdr:twoCellAnchor editAs="oneCell">
    <xdr:from>
      <xdr:col>2</xdr:col>
      <xdr:colOff>38100</xdr:colOff>
      <xdr:row>2</xdr:row>
      <xdr:rowOff>25400</xdr:rowOff>
    </xdr:from>
    <xdr:to>
      <xdr:col>4</xdr:col>
      <xdr:colOff>652502</xdr:colOff>
      <xdr:row>5</xdr:row>
      <xdr:rowOff>114299</xdr:rowOff>
    </xdr:to>
    <xdr:pic>
      <xdr:nvPicPr>
        <xdr:cNvPr id="4" name="Picture 3">
          <a:hlinkClick xmlns:r="http://schemas.openxmlformats.org/officeDocument/2006/relationships" r:id="rId4"/>
          <a:extLst>
            <a:ext uri="{FF2B5EF4-FFF2-40B4-BE49-F238E27FC236}">
              <a16:creationId xmlns:a16="http://schemas.microsoft.com/office/drawing/2014/main" id="{53499BD9-2E58-D14A-A4B3-04983B6228A7}"/>
            </a:ext>
          </a:extLst>
        </xdr:cNvPr>
        <xdr:cNvPicPr>
          <a:picLocks noChangeAspect="1"/>
        </xdr:cNvPicPr>
      </xdr:nvPicPr>
      <xdr:blipFill rotWithShape="1">
        <a:blip xmlns:r="http://schemas.openxmlformats.org/officeDocument/2006/relationships" r:embed="rId5"/>
        <a:srcRect l="11111" t="22551" r="10457" b="22734"/>
        <a:stretch>
          <a:fillRect/>
        </a:stretch>
      </xdr:blipFill>
      <xdr:spPr>
        <a:xfrm>
          <a:off x="3378200" y="431800"/>
          <a:ext cx="2265402" cy="6984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120650</xdr:colOff>
      <xdr:row>1</xdr:row>
      <xdr:rowOff>12700</xdr:rowOff>
    </xdr:from>
    <xdr:to>
      <xdr:col>3</xdr:col>
      <xdr:colOff>533400</xdr:colOff>
      <xdr:row>6</xdr:row>
      <xdr:rowOff>5116</xdr:rowOff>
    </xdr:to>
    <xdr:pic>
      <xdr:nvPicPr>
        <xdr:cNvPr id="13" name="Picture 12">
          <a:extLst>
            <a:ext uri="{FF2B5EF4-FFF2-40B4-BE49-F238E27FC236}">
              <a16:creationId xmlns:a16="http://schemas.microsoft.com/office/drawing/2014/main" id="{65EF799A-F31C-A140-BF05-085F143834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215900"/>
          <a:ext cx="1797050" cy="10084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25400</xdr:colOff>
      <xdr:row>2</xdr:row>
      <xdr:rowOff>50800</xdr:rowOff>
    </xdr:from>
    <xdr:to>
      <xdr:col>14</xdr:col>
      <xdr:colOff>381000</xdr:colOff>
      <xdr:row>5</xdr:row>
      <xdr:rowOff>168269</xdr:rowOff>
    </xdr:to>
    <xdr:pic>
      <xdr:nvPicPr>
        <xdr:cNvPr id="2" name="Picture 1">
          <a:hlinkClick xmlns:r="http://schemas.openxmlformats.org/officeDocument/2006/relationships" r:id="rId2"/>
          <a:extLst>
            <a:ext uri="{FF2B5EF4-FFF2-40B4-BE49-F238E27FC236}">
              <a16:creationId xmlns:a16="http://schemas.microsoft.com/office/drawing/2014/main" id="{693CCCF3-EC76-A14D-93F9-5063F9194F5D}"/>
            </a:ext>
          </a:extLst>
        </xdr:cNvPr>
        <xdr:cNvPicPr>
          <a:picLocks noChangeAspect="1"/>
        </xdr:cNvPicPr>
      </xdr:nvPicPr>
      <xdr:blipFill>
        <a:blip xmlns:r="http://schemas.openxmlformats.org/officeDocument/2006/relationships" r:embed="rId3"/>
        <a:stretch>
          <a:fillRect/>
        </a:stretch>
      </xdr:blipFill>
      <xdr:spPr>
        <a:xfrm>
          <a:off x="5257800" y="457200"/>
          <a:ext cx="2806700" cy="727069"/>
        </a:xfrm>
        <a:prstGeom prst="rect">
          <a:avLst/>
        </a:prstGeom>
      </xdr:spPr>
    </xdr:pic>
    <xdr:clientData/>
  </xdr:twoCellAnchor>
  <xdr:twoCellAnchor editAs="oneCell">
    <xdr:from>
      <xdr:col>4</xdr:col>
      <xdr:colOff>63500</xdr:colOff>
      <xdr:row>2</xdr:row>
      <xdr:rowOff>25400</xdr:rowOff>
    </xdr:from>
    <xdr:to>
      <xdr:col>6</xdr:col>
      <xdr:colOff>677902</xdr:colOff>
      <xdr:row>5</xdr:row>
      <xdr:rowOff>114299</xdr:rowOff>
    </xdr:to>
    <xdr:pic>
      <xdr:nvPicPr>
        <xdr:cNvPr id="4" name="Picture 3">
          <a:hlinkClick xmlns:r="http://schemas.openxmlformats.org/officeDocument/2006/relationships" r:id="rId4"/>
          <a:extLst>
            <a:ext uri="{FF2B5EF4-FFF2-40B4-BE49-F238E27FC236}">
              <a16:creationId xmlns:a16="http://schemas.microsoft.com/office/drawing/2014/main" id="{40489855-4734-7542-A467-5926C6976117}"/>
            </a:ext>
          </a:extLst>
        </xdr:cNvPr>
        <xdr:cNvPicPr>
          <a:picLocks noChangeAspect="1"/>
        </xdr:cNvPicPr>
      </xdr:nvPicPr>
      <xdr:blipFill rotWithShape="1">
        <a:blip xmlns:r="http://schemas.openxmlformats.org/officeDocument/2006/relationships" r:embed="rId5"/>
        <a:srcRect l="11111" t="22551" r="10457" b="22734"/>
        <a:stretch>
          <a:fillRect/>
        </a:stretch>
      </xdr:blipFill>
      <xdr:spPr>
        <a:xfrm>
          <a:off x="2565400" y="431800"/>
          <a:ext cx="2265402" cy="6984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earlychildhood.qld.gov.au/freekindy"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298DF-ACA6-D244-86C3-11069F366E56}">
  <dimension ref="B2:H20"/>
  <sheetViews>
    <sheetView workbookViewId="0">
      <pane ySplit="7" topLeftCell="A10" activePane="bottomLeft" state="frozen"/>
      <selection pane="bottomLeft" activeCell="B10" sqref="B10:F10"/>
    </sheetView>
  </sheetViews>
  <sheetFormatPr defaultColWidth="10.875" defaultRowHeight="15.75"/>
  <cols>
    <col min="1" max="1" width="3.625" style="1" customWidth="1"/>
    <col min="2" max="16384" width="10.875" style="1"/>
  </cols>
  <sheetData>
    <row r="2" spans="2:8">
      <c r="E2" s="2" t="s">
        <v>0</v>
      </c>
      <c r="G2" s="2"/>
      <c r="H2" s="2" t="s">
        <v>1</v>
      </c>
    </row>
    <row r="7" spans="2:8" ht="36">
      <c r="B7" s="3" t="s">
        <v>2</v>
      </c>
    </row>
    <row r="8" spans="2:8" ht="9" customHeight="1"/>
    <row r="9" spans="2:8" ht="18.75">
      <c r="B9" s="22" t="s">
        <v>3</v>
      </c>
      <c r="C9" s="23"/>
      <c r="D9" s="23"/>
      <c r="E9" s="23"/>
      <c r="F9" s="23"/>
    </row>
    <row r="10" spans="2:8" ht="156" customHeight="1">
      <c r="B10" s="28" t="s">
        <v>4</v>
      </c>
      <c r="C10" s="28"/>
      <c r="D10" s="28"/>
      <c r="E10" s="28"/>
      <c r="F10" s="28"/>
    </row>
    <row r="11" spans="2:8">
      <c r="B11" s="30" t="s">
        <v>5</v>
      </c>
      <c r="C11" s="30"/>
      <c r="D11" s="30"/>
      <c r="E11" s="30"/>
      <c r="F11" s="30"/>
    </row>
    <row r="13" spans="2:8" ht="18.75">
      <c r="B13" s="22" t="s">
        <v>6</v>
      </c>
    </row>
    <row r="14" spans="2:8">
      <c r="B14" s="29" t="s">
        <v>7</v>
      </c>
      <c r="C14" s="29"/>
      <c r="D14" s="29"/>
      <c r="E14" s="29"/>
      <c r="F14" s="29"/>
    </row>
    <row r="15" spans="2:8">
      <c r="B15" s="24"/>
      <c r="C15" s="24"/>
      <c r="D15" s="24"/>
      <c r="E15" s="24"/>
      <c r="F15" s="24"/>
    </row>
    <row r="16" spans="2:8">
      <c r="B16" s="25" t="s">
        <v>8</v>
      </c>
    </row>
    <row r="17" spans="2:6" ht="183" customHeight="1">
      <c r="B17" s="29" t="s">
        <v>9</v>
      </c>
      <c r="C17" s="29"/>
      <c r="D17" s="29"/>
      <c r="E17" s="29"/>
      <c r="F17" s="29"/>
    </row>
    <row r="19" spans="2:6">
      <c r="B19" s="25" t="s">
        <v>10</v>
      </c>
    </row>
    <row r="20" spans="2:6" ht="120" customHeight="1">
      <c r="B20" s="29" t="s">
        <v>11</v>
      </c>
      <c r="C20" s="29"/>
      <c r="D20" s="29"/>
      <c r="E20" s="29"/>
      <c r="F20" s="29"/>
    </row>
  </sheetData>
  <sheetProtection algorithmName="SHA-512" hashValue="lIwqv7UpYwOBa8Sxs3meXtne9Uzo2TW761sQJMrsIO++46wfaZu4i88RbV6GP4v0aKc7ZspiI/HwVNGy9Rat6A==" saltValue="75fRJ9xtk3l9iu/JqzlP6Q==" spinCount="100000" sheet="1" objects="1" scenarios="1"/>
  <mergeCells count="5">
    <mergeCell ref="B10:F10"/>
    <mergeCell ref="B20:F20"/>
    <mergeCell ref="B17:F17"/>
    <mergeCell ref="B14:F14"/>
    <mergeCell ref="B11:F11"/>
  </mergeCells>
  <hyperlinks>
    <hyperlink ref="B11" r:id="rId1" xr:uid="{55D98245-0A0D-3943-AC97-E90320ED12CD}"/>
    <hyperlink ref="B16" location="Daily!A1" display="Daily" xr:uid="{0D3E0C66-FC82-134A-9994-656752EA43E3}"/>
    <hyperlink ref="B19" location="'Fortnightly (Detailed)'!A1" display="Fortnightly (Detailed)" xr:uid="{4E803EB3-099E-5644-B5C9-92DDE29EDF13}"/>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A9DDB-34F4-E840-8B13-E64C6F910D69}">
  <dimension ref="B2:AC27"/>
  <sheetViews>
    <sheetView workbookViewId="0">
      <pane ySplit="7" topLeftCell="A8" activePane="bottomLeft" state="frozen"/>
      <selection pane="bottomLeft"/>
    </sheetView>
  </sheetViews>
  <sheetFormatPr defaultColWidth="10.875" defaultRowHeight="15.75"/>
  <cols>
    <col min="1" max="1" width="3.875" style="1" customWidth="1"/>
    <col min="2" max="2" width="40" style="1" customWidth="1"/>
    <col min="3" max="7" width="10.875" style="1"/>
    <col min="8" max="16" width="10.875" style="1" hidden="1" customWidth="1"/>
    <col min="17" max="17" width="11.875" style="1" hidden="1" customWidth="1"/>
    <col min="18" max="19" width="10.875" style="1" hidden="1" customWidth="1"/>
    <col min="20" max="20" width="11" style="1" hidden="1" customWidth="1"/>
    <col min="21" max="24" width="10.875" style="1" hidden="1" customWidth="1"/>
    <col min="25" max="25" width="14.625" style="1" hidden="1" customWidth="1"/>
    <col min="26" max="29" width="10.875" style="1" hidden="1" customWidth="1"/>
    <col min="30" max="30" width="10.875" style="1"/>
    <col min="31" max="32" width="10.875" style="1" customWidth="1"/>
    <col min="33" max="33" width="10.875" style="1"/>
    <col min="34" max="35" width="10.875" style="1" customWidth="1"/>
    <col min="36" max="36" width="6" style="1" customWidth="1"/>
    <col min="37" max="39" width="10.875" style="1" customWidth="1"/>
    <col min="40" max="40" width="4.625" style="1" customWidth="1"/>
    <col min="41" max="16384" width="10.875" style="1"/>
  </cols>
  <sheetData>
    <row r="2" spans="2:29">
      <c r="C2" s="2" t="s">
        <v>0</v>
      </c>
      <c r="E2" s="2"/>
      <c r="F2" s="2" t="s">
        <v>1</v>
      </c>
    </row>
    <row r="6" spans="2:29" ht="15.95" customHeight="1"/>
    <row r="7" spans="2:29" ht="42.95" customHeight="1">
      <c r="B7" s="3" t="s">
        <v>12</v>
      </c>
      <c r="H7" s="4"/>
    </row>
    <row r="8" spans="2:29" ht="15.95" customHeight="1">
      <c r="B8" s="5" t="s">
        <v>13</v>
      </c>
      <c r="D8" s="4"/>
      <c r="E8" s="4"/>
      <c r="F8" s="4"/>
      <c r="G8" s="4"/>
      <c r="H8" s="4"/>
    </row>
    <row r="10" spans="2:29" ht="94.5" hidden="1">
      <c r="H10" s="6" t="s">
        <v>14</v>
      </c>
      <c r="I10" s="6" t="s">
        <v>15</v>
      </c>
      <c r="J10" s="6" t="s">
        <v>16</v>
      </c>
      <c r="K10" s="6" t="s">
        <v>17</v>
      </c>
      <c r="L10" s="6" t="s">
        <v>18</v>
      </c>
      <c r="M10" s="6" t="s">
        <v>19</v>
      </c>
      <c r="N10" s="6" t="s">
        <v>20</v>
      </c>
      <c r="O10" s="6" t="s">
        <v>21</v>
      </c>
      <c r="P10" s="6" t="s">
        <v>22</v>
      </c>
      <c r="Q10" s="6" t="s">
        <v>23</v>
      </c>
      <c r="R10" s="6" t="s">
        <v>24</v>
      </c>
      <c r="S10" s="2" t="s">
        <v>25</v>
      </c>
      <c r="T10" s="6" t="s">
        <v>26</v>
      </c>
      <c r="U10" s="6" t="s">
        <v>27</v>
      </c>
      <c r="V10" s="6" t="s">
        <v>28</v>
      </c>
      <c r="W10" s="6" t="s">
        <v>29</v>
      </c>
      <c r="X10" s="6" t="s">
        <v>30</v>
      </c>
      <c r="Y10" s="6" t="s">
        <v>31</v>
      </c>
      <c r="Z10" s="6" t="s">
        <v>32</v>
      </c>
      <c r="AA10" s="6" t="s">
        <v>33</v>
      </c>
      <c r="AB10" s="6" t="s">
        <v>34</v>
      </c>
      <c r="AC10" s="6" t="s">
        <v>35</v>
      </c>
    </row>
    <row r="11" spans="2:29">
      <c r="B11" s="6" t="s">
        <v>36</v>
      </c>
      <c r="C11" s="18">
        <v>0.85</v>
      </c>
      <c r="H11" s="7">
        <f>C15-C14</f>
        <v>0.5</v>
      </c>
      <c r="I11" s="8">
        <f>ROUND(HOUR(H11)+MINUTE(H11)/60,4)</f>
        <v>12</v>
      </c>
      <c r="J11" s="9">
        <f>IFERROR(C13/I11,0)</f>
        <v>11.166666666666666</v>
      </c>
      <c r="K11" s="9">
        <f>ROUND(MIN(J11,hr_rate_cap)*($C11),2)</f>
        <v>9.49</v>
      </c>
      <c r="L11" s="9">
        <f>IF(C16="Y",I11,0)</f>
        <v>12</v>
      </c>
      <c r="M11" s="10">
        <f>MIN(ROUND(L11*K11,4),C13)</f>
        <v>113.88</v>
      </c>
      <c r="N11" s="10">
        <f>ROUND(M11*$C12,4)</f>
        <v>5.694</v>
      </c>
      <c r="O11" s="10">
        <f>ROUND((C20+(C20*(($C12*100)/(100-($C12*100)))))*(IF($C12&lt;=0.05,$C12,5%)),4)</f>
        <v>5.694</v>
      </c>
      <c r="P11" s="10">
        <f>(C20+(C20*(($C12*100)/(100-($C12*100)))))-O11</f>
        <v>108.18600000000001</v>
      </c>
      <c r="Q11" s="10">
        <f>C13-P11</f>
        <v>25.813999999999993</v>
      </c>
      <c r="R11" s="10">
        <f>IF(L11=0,0,P11/L11)</f>
        <v>9.0155000000000012</v>
      </c>
      <c r="S11" s="7">
        <f>C18-C17</f>
        <v>0.31250000000000006</v>
      </c>
      <c r="T11" s="8">
        <f>ROUND(HOUR(S11)+MINUTE(S11)/60,4)</f>
        <v>7.5</v>
      </c>
      <c r="U11" s="1" t="str">
        <f>IF(T11=0,"",IF(L11&gt;=I11,"All Hours",IF(AND(L11&lt;&gt;0,T11&lt;&gt;0),"Part","None")))</f>
        <v>All Hours</v>
      </c>
      <c r="V11" s="8">
        <f>IF(L11&gt;=I11,T11,MAX(0,L11-ROUND(HOUR(C17-C14)+MINUTE(C17-C14)/60,4)))</f>
        <v>7.5</v>
      </c>
      <c r="W11" s="8">
        <f>T11-V11</f>
        <v>0</v>
      </c>
      <c r="X11" s="9">
        <f>IF((kindy_hours-T11)&gt;=0,T11,kindy_hours)</f>
        <v>7.5</v>
      </c>
      <c r="Y11" s="12">
        <f>IF(X11&gt;=V11,V11,MIN(X11,V11))</f>
        <v>7.5</v>
      </c>
      <c r="Z11" s="12">
        <f>IF((X11-V11)&gt;=W11,W11,MAX(0,(X11-V11)))</f>
        <v>0</v>
      </c>
      <c r="AA11" s="12">
        <f>(T11-SUM(V11:W11))+(X11-SUM(Y11:Z11))</f>
        <v>0</v>
      </c>
      <c r="AB11" s="12">
        <f>Y11*(J11-R11)</f>
        <v>16.133749999999985</v>
      </c>
      <c r="AC11" s="12">
        <f>Z11*(J11)</f>
        <v>0</v>
      </c>
    </row>
    <row r="12" spans="2:29">
      <c r="B12" s="6" t="s">
        <v>37</v>
      </c>
      <c r="C12" s="18">
        <v>0.05</v>
      </c>
    </row>
    <row r="13" spans="2:29">
      <c r="B13" s="6" t="s">
        <v>38</v>
      </c>
      <c r="C13" s="17">
        <v>134</v>
      </c>
    </row>
    <row r="14" spans="2:29">
      <c r="B14" s="6" t="s">
        <v>39</v>
      </c>
      <c r="C14" s="19">
        <v>0.27083333333333331</v>
      </c>
    </row>
    <row r="15" spans="2:29">
      <c r="B15" s="6" t="s">
        <v>40</v>
      </c>
      <c r="C15" s="19">
        <v>0.77083333333333337</v>
      </c>
    </row>
    <row r="16" spans="2:29">
      <c r="B16" s="6" t="s">
        <v>41</v>
      </c>
      <c r="C16" s="20" t="s">
        <v>42</v>
      </c>
    </row>
    <row r="17" spans="2:3">
      <c r="B17" s="6" t="s">
        <v>43</v>
      </c>
      <c r="C17" s="19">
        <v>0.33333333333333331</v>
      </c>
    </row>
    <row r="18" spans="2:3">
      <c r="B18" s="6" t="s">
        <v>44</v>
      </c>
      <c r="C18" s="19">
        <v>0.64583333333333337</v>
      </c>
    </row>
    <row r="19" spans="2:3">
      <c r="B19" s="31" t="str">
        <f>IF(AND($T$11&gt;=5,$T$11&lt;=7.5),"","Kindy Program Session Hours must be either 5 hrs or 7.5 hrs")</f>
        <v/>
      </c>
      <c r="C19" s="31"/>
    </row>
    <row r="20" spans="2:3" ht="31.5">
      <c r="B20" s="6" t="s">
        <v>45</v>
      </c>
      <c r="C20" s="11">
        <f>ROUND(M11-N11,4)</f>
        <v>108.18600000000001</v>
      </c>
    </row>
    <row r="21" spans="2:3">
      <c r="B21" s="6" t="s">
        <v>46</v>
      </c>
      <c r="C21" s="16">
        <f>C13-C20</f>
        <v>25.813999999999993</v>
      </c>
    </row>
    <row r="23" spans="2:3">
      <c r="B23" s="6" t="s">
        <v>47</v>
      </c>
      <c r="C23" s="11">
        <f>SUM(AB11:AC11)</f>
        <v>16.133749999999985</v>
      </c>
    </row>
    <row r="24" spans="2:3">
      <c r="B24" s="6" t="s">
        <v>48</v>
      </c>
      <c r="C24" s="21">
        <f>C21-C23</f>
        <v>9.680250000000008</v>
      </c>
    </row>
    <row r="27" spans="2:3">
      <c r="B27" s="10"/>
    </row>
  </sheetData>
  <sheetProtection algorithmName="SHA-512" hashValue="VzR7EH91ElkMf2hWHVrltYJK13paQu6E1seG6wES1U1Ad1X137L9UTDedNKtV8KqGZ5JjWntyvB4XBna2NsN/A==" saltValue="nlZl1NODFwcP/0OciA9hGQ==" spinCount="100000" sheet="1" objects="1" scenarios="1"/>
  <mergeCells count="1">
    <mergeCell ref="B19:C19"/>
  </mergeCells>
  <conditionalFormatting sqref="B19:C19">
    <cfRule type="expression" dxfId="1" priority="1">
      <formula>$B$19&lt;&gt;""</formula>
    </cfRule>
  </conditionalFormatting>
  <dataValidations count="3">
    <dataValidation type="list" allowBlank="1" showInputMessage="1" showErrorMessage="1" sqref="C16" xr:uid="{CED49A44-B01D-5948-B780-110C7B34699A}">
      <formula1>"Y,N"</formula1>
    </dataValidation>
    <dataValidation type="time" allowBlank="1" showInputMessage="1" showErrorMessage="1" sqref="C14 C17" xr:uid="{DF2AF176-E1B0-7D4C-8346-15715F6BBC80}">
      <formula1>0.25</formula1>
      <formula2>0.75</formula2>
    </dataValidation>
    <dataValidation type="time" allowBlank="1" showInputMessage="1" showErrorMessage="1" sqref="C15 C18" xr:uid="{A8842B9E-23C7-2C4B-8CF6-8C7F9D912EE7}">
      <formula1>0.25</formula1>
      <formula2>0.791666666666667</formula2>
    </dataValidation>
  </dataValidations>
  <hyperlinks>
    <hyperlink ref="B8" location="Instructions!B15" display="Instructions" xr:uid="{73D69F50-EC94-8F44-A3A4-9B4728E4A3A0}"/>
  </hyperlink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9C730-26AE-E549-BE18-7FB58C5F9118}">
  <dimension ref="B2:AP30"/>
  <sheetViews>
    <sheetView tabSelected="1" workbookViewId="0">
      <pane ySplit="7" topLeftCell="A8" activePane="bottomLeft" state="frozen"/>
      <selection pane="bottomLeft" activeCell="H21" sqref="H21"/>
    </sheetView>
  </sheetViews>
  <sheetFormatPr defaultColWidth="10.875" defaultRowHeight="15.75"/>
  <cols>
    <col min="1" max="1" width="3.875" style="1" customWidth="1"/>
    <col min="2" max="2" width="10.875" style="1"/>
    <col min="3" max="3" width="7.375" style="1" customWidth="1"/>
    <col min="4" max="7" width="10.875" style="1"/>
    <col min="8" max="8" width="10.125" style="1" customWidth="1"/>
    <col min="9" max="11" width="7.375" style="1" bestFit="1" customWidth="1"/>
    <col min="12" max="14" width="10.875" style="1" hidden="1" customWidth="1"/>
    <col min="15" max="15" width="9.625" style="1" bestFit="1" customWidth="1"/>
    <col min="16" max="16" width="10.875" style="1" hidden="1" customWidth="1"/>
    <col min="17" max="17" width="11.875" style="1" hidden="1" customWidth="1"/>
    <col min="18" max="19" width="10.875" style="1"/>
    <col min="20" max="20" width="2.625" style="1" hidden="1" customWidth="1"/>
    <col min="21" max="24" width="10.875" style="1" hidden="1" customWidth="1"/>
    <col min="25" max="25" width="2.375" style="1" customWidth="1"/>
    <col min="26" max="27" width="8.125" style="1" bestFit="1" customWidth="1"/>
    <col min="28" max="28" width="7.125" style="1" customWidth="1"/>
    <col min="29" max="29" width="10.875" style="1" hidden="1" customWidth="1"/>
    <col min="30" max="30" width="10.875" style="1"/>
    <col min="31" max="32" width="10.875" style="1" hidden="1" customWidth="1"/>
    <col min="33" max="33" width="9.625" style="1" customWidth="1"/>
    <col min="34" max="35" width="10.875" style="1" hidden="1" customWidth="1"/>
    <col min="36" max="36" width="6" style="1" hidden="1" customWidth="1"/>
    <col min="37" max="38" width="10.875" style="1" hidden="1" customWidth="1"/>
    <col min="39" max="39" width="10.875" style="1" customWidth="1"/>
    <col min="40" max="40" width="4.625" style="1" customWidth="1"/>
    <col min="41" max="16384" width="10.875" style="1"/>
  </cols>
  <sheetData>
    <row r="2" spans="2:42">
      <c r="E2" s="2" t="s">
        <v>0</v>
      </c>
      <c r="G2" s="2"/>
      <c r="H2" s="2" t="s">
        <v>1</v>
      </c>
    </row>
    <row r="5" spans="2:42">
      <c r="AA5" s="10"/>
      <c r="AG5" s="9"/>
    </row>
    <row r="7" spans="2:42" ht="42.95" customHeight="1">
      <c r="B7" s="3" t="s">
        <v>49</v>
      </c>
      <c r="H7" s="4"/>
    </row>
    <row r="8" spans="2:42">
      <c r="B8" s="5" t="s">
        <v>13</v>
      </c>
    </row>
    <row r="10" spans="2:42" ht="94.5">
      <c r="B10" s="6" t="s">
        <v>50</v>
      </c>
      <c r="C10" s="6" t="s">
        <v>51</v>
      </c>
      <c r="D10" s="6" t="s">
        <v>52</v>
      </c>
      <c r="E10" s="6" t="s">
        <v>36</v>
      </c>
      <c r="F10" s="6" t="s">
        <v>53</v>
      </c>
      <c r="G10" s="6" t="s">
        <v>37</v>
      </c>
      <c r="H10" s="6" t="s">
        <v>38</v>
      </c>
      <c r="I10" s="6" t="s">
        <v>39</v>
      </c>
      <c r="J10" s="6" t="s">
        <v>40</v>
      </c>
      <c r="K10" s="6" t="s">
        <v>14</v>
      </c>
      <c r="L10" s="6" t="s">
        <v>15</v>
      </c>
      <c r="M10" s="6" t="s">
        <v>16</v>
      </c>
      <c r="N10" s="6" t="s">
        <v>17</v>
      </c>
      <c r="O10" s="6" t="s">
        <v>18</v>
      </c>
      <c r="P10" s="6" t="s">
        <v>19</v>
      </c>
      <c r="Q10" s="6" t="s">
        <v>20</v>
      </c>
      <c r="R10" s="6" t="s">
        <v>45</v>
      </c>
      <c r="S10" s="6" t="s">
        <v>46</v>
      </c>
      <c r="T10" s="6"/>
      <c r="U10" s="6" t="s">
        <v>21</v>
      </c>
      <c r="V10" s="6" t="s">
        <v>22</v>
      </c>
      <c r="W10" s="6" t="s">
        <v>23</v>
      </c>
      <c r="X10" s="6" t="s">
        <v>24</v>
      </c>
      <c r="Y10" s="6"/>
      <c r="Z10" s="6" t="s">
        <v>43</v>
      </c>
      <c r="AA10" s="6" t="s">
        <v>44</v>
      </c>
      <c r="AB10" s="6" t="s">
        <v>25</v>
      </c>
      <c r="AC10" s="6" t="s">
        <v>26</v>
      </c>
      <c r="AD10" s="6" t="s">
        <v>27</v>
      </c>
      <c r="AE10" s="6" t="s">
        <v>28</v>
      </c>
      <c r="AF10" s="6" t="s">
        <v>29</v>
      </c>
      <c r="AG10" s="6" t="s">
        <v>30</v>
      </c>
      <c r="AH10" s="6" t="s">
        <v>31</v>
      </c>
      <c r="AI10" s="6" t="s">
        <v>32</v>
      </c>
      <c r="AJ10" s="6" t="s">
        <v>33</v>
      </c>
      <c r="AK10" s="6" t="s">
        <v>34</v>
      </c>
      <c r="AL10" s="6" t="s">
        <v>35</v>
      </c>
      <c r="AM10" s="6" t="s">
        <v>47</v>
      </c>
      <c r="AO10" s="6" t="s">
        <v>48</v>
      </c>
    </row>
    <row r="11" spans="2:42">
      <c r="B11" s="1">
        <v>1</v>
      </c>
      <c r="C11" s="1" t="s">
        <v>54</v>
      </c>
      <c r="D11" s="17" t="s">
        <v>55</v>
      </c>
      <c r="E11" s="27">
        <v>0.49930000000000002</v>
      </c>
      <c r="F11" s="17">
        <v>100</v>
      </c>
      <c r="G11" s="18">
        <v>0.05</v>
      </c>
      <c r="H11" s="17">
        <v>151</v>
      </c>
      <c r="I11" s="19">
        <v>0.3125</v>
      </c>
      <c r="J11" s="19">
        <v>0.72916666666666663</v>
      </c>
      <c r="K11" s="7">
        <f>J11-I11</f>
        <v>0.41666666666666663</v>
      </c>
      <c r="L11" s="8">
        <f>ROUND(HOUR(K11)+MINUTE(K11)/60,4)</f>
        <v>10</v>
      </c>
      <c r="M11" s="9">
        <f t="shared" ref="M11:M20" si="0">IFERROR(H11/L11,0)</f>
        <v>15.1</v>
      </c>
      <c r="N11" s="9">
        <f t="shared" ref="N11:N20" si="1">ROUND(MIN(M11,hr_rate_cap)*($E11),2)</f>
        <v>7.3</v>
      </c>
      <c r="O11" s="9">
        <f>IF(($F11-L11)&gt;=0,L11,$F11)</f>
        <v>10</v>
      </c>
      <c r="P11" s="10">
        <f>MIN(ROUND(O11*N11,4),H11)</f>
        <v>73</v>
      </c>
      <c r="Q11" s="10">
        <f>ROUND(P11*$G11,4)</f>
        <v>3.65</v>
      </c>
      <c r="R11" s="11">
        <f>ROUND(P11-Q11,4)</f>
        <v>69.349999999999994</v>
      </c>
      <c r="S11" s="11">
        <f>H11-R11</f>
        <v>81.650000000000006</v>
      </c>
      <c r="U11" s="10">
        <f>ROUND((R11+(R11*(($G11*100)/(100-($G11*100)))))*(IF($G11&lt;=0.05,$G11,5%)),4)</f>
        <v>3.65</v>
      </c>
      <c r="V11" s="10">
        <f>(R11+(R11*(($G11*100)/(100-($G11*100)))))-U11</f>
        <v>69.349999999999994</v>
      </c>
      <c r="W11" s="10">
        <f>H11-V11</f>
        <v>81.650000000000006</v>
      </c>
      <c r="X11" s="10">
        <f t="shared" ref="X11:X13" si="2">IF(O11=0,0,V11/O11)</f>
        <v>6.9349999999999996</v>
      </c>
      <c r="Z11" s="19">
        <v>0.33333333333333331</v>
      </c>
      <c r="AA11" s="19">
        <v>0.64583333333333337</v>
      </c>
      <c r="AB11" s="7">
        <f>AA11-Z11</f>
        <v>0.31250000000000006</v>
      </c>
      <c r="AC11" s="8">
        <f>ROUND(HOUR(AB11)+MINUTE(AB11)/60,4)</f>
        <v>7.5</v>
      </c>
      <c r="AD11" s="1" t="str">
        <f t="shared" ref="AD11:AD19" si="3">IF(OR(AC11=0,O11=0),"",IF(O11&gt;=L11,"All Hours",IF(AND(O11&lt;&gt;0,AC11&lt;&gt;0),"Part","None")))</f>
        <v>All Hours</v>
      </c>
      <c r="AE11" s="8">
        <f t="shared" ref="AE11:AE19" si="4">IF(O11&gt;=L11,AC11,IF(Z11&lt;&gt;"",MAX(0,O11-ROUND(HOUR(Z11-I11)+MINUTE(Z11-I11)/60,4)),0))</f>
        <v>7.5</v>
      </c>
      <c r="AF11" s="8">
        <f t="shared" ref="AF11:AF12" si="5">AC11-AE11</f>
        <v>0</v>
      </c>
      <c r="AG11" s="9">
        <f>IF((kindy_hours-AC11)&gt;=0,AC11,kindy_hours)</f>
        <v>7.5</v>
      </c>
      <c r="AH11" s="12">
        <f t="shared" ref="AH11:AH12" si="6">IF(AG11&gt;=AE11,AE11,MIN(AG11,AE11))</f>
        <v>7.5</v>
      </c>
      <c r="AI11" s="12">
        <f t="shared" ref="AI11:AI12" si="7">IF((AG11-AE11)&gt;=AF11,AF11,MAX(0,(AG11-AE11)))</f>
        <v>0</v>
      </c>
      <c r="AJ11" s="12">
        <f>(AC11-SUM(AE11:AF11))+(AG11-SUM(AH11:AI11))</f>
        <v>0</v>
      </c>
      <c r="AK11" s="12">
        <f>AH11*(M11-X11)</f>
        <v>61.237499999999997</v>
      </c>
      <c r="AL11" s="12">
        <f t="shared" ref="AL11:AL12" si="8">AI11*(M11)</f>
        <v>0</v>
      </c>
      <c r="AM11" s="12">
        <f>SUM(AK11:AL11)</f>
        <v>61.237499999999997</v>
      </c>
      <c r="AO11" s="9">
        <f>S11-AM11</f>
        <v>20.412500000000009</v>
      </c>
      <c r="AP11" s="1" t="str">
        <f t="shared" ref="AP11:AP12" si="9">IF(OR(AND($AC11&gt;=5,$AC11&lt;=7.5),$AC11=0),"","Kindy Program Session Hours must be either 5 hrs or 7.5 hrs")</f>
        <v/>
      </c>
    </row>
    <row r="12" spans="2:42">
      <c r="B12" s="1">
        <v>1</v>
      </c>
      <c r="C12" s="1" t="s">
        <v>56</v>
      </c>
      <c r="D12" s="17" t="s">
        <v>55</v>
      </c>
      <c r="E12" s="27">
        <v>0.49930000000000002</v>
      </c>
      <c r="F12" s="17">
        <v>100</v>
      </c>
      <c r="G12" s="18">
        <v>0.05</v>
      </c>
      <c r="H12" s="17">
        <v>151</v>
      </c>
      <c r="I12" s="19">
        <v>0.3125</v>
      </c>
      <c r="J12" s="19">
        <v>0.72916666666666663</v>
      </c>
      <c r="K12" s="7">
        <f>J12-I12</f>
        <v>0.41666666666666663</v>
      </c>
      <c r="L12" s="8">
        <f>ROUND(HOUR(K12)+MINUTE(K12)/60,4)</f>
        <v>10</v>
      </c>
      <c r="M12" s="9">
        <f t="shared" si="0"/>
        <v>15.1</v>
      </c>
      <c r="N12" s="9">
        <f t="shared" si="1"/>
        <v>7.3</v>
      </c>
      <c r="O12" s="9">
        <f>IF(F12-(SUMIFS($O$11:O11,$D$11:D11,$D12)+L12)&gt;=0,L12,F12-(SUMIFS($O$11:O11,$D$11:D11,$D12)))</f>
        <v>10</v>
      </c>
      <c r="P12" s="10">
        <f t="shared" ref="P12:P20" si="10">MIN(ROUND(O12*N12,4),H12)</f>
        <v>73</v>
      </c>
      <c r="Q12" s="10">
        <f>ROUND(P12*$G12,4)</f>
        <v>3.65</v>
      </c>
      <c r="R12" s="11">
        <f>ROUND(P12-Q12,4)</f>
        <v>69.349999999999994</v>
      </c>
      <c r="S12" s="11">
        <f>H12-R12</f>
        <v>81.650000000000006</v>
      </c>
      <c r="U12" s="10">
        <f t="shared" ref="U12:U20" si="11">ROUND((R12+(R12*(($G12*100)/(100-($G12*100)))))*(IF($G12&lt;=0.05,$G12,5%)),4)</f>
        <v>3.65</v>
      </c>
      <c r="V12" s="10">
        <f>(R12+(R12*(($G12*100)/(100-($G12*100)))))-U12</f>
        <v>69.349999999999994</v>
      </c>
      <c r="W12" s="10">
        <f>H12-V12</f>
        <v>81.650000000000006</v>
      </c>
      <c r="X12" s="10">
        <f t="shared" si="2"/>
        <v>6.9349999999999996</v>
      </c>
      <c r="Z12" s="19">
        <v>0.33333333333333331</v>
      </c>
      <c r="AA12" s="19">
        <v>0.64583333333333337</v>
      </c>
      <c r="AB12" s="7">
        <f t="shared" ref="AB12:AB15" si="12">AA12-Z12</f>
        <v>0.31250000000000006</v>
      </c>
      <c r="AC12" s="8">
        <f t="shared" ref="AC12:AC20" si="13">ROUND(HOUR(AB12)+MINUTE(AB12)/60,4)</f>
        <v>7.5</v>
      </c>
      <c r="AD12" s="1" t="str">
        <f t="shared" si="3"/>
        <v>All Hours</v>
      </c>
      <c r="AE12" s="8">
        <f t="shared" si="4"/>
        <v>7.5</v>
      </c>
      <c r="AF12" s="8">
        <f t="shared" si="5"/>
        <v>0</v>
      </c>
      <c r="AG12" s="9">
        <f>IF((kindy_hours-SUM($AG$11:AG11)-AC12)&gt;=0,AC12,kindy_hours-SUM($AG$11:AG11))</f>
        <v>7.5</v>
      </c>
      <c r="AH12" s="12">
        <f t="shared" si="6"/>
        <v>7.5</v>
      </c>
      <c r="AI12" s="12">
        <f t="shared" si="7"/>
        <v>0</v>
      </c>
      <c r="AJ12" s="12">
        <f t="shared" ref="AJ12:AJ13" si="14">(AC12-SUM(AE12:AF12))+(AG12-SUM(AH12:AI12))</f>
        <v>0</v>
      </c>
      <c r="AK12" s="12">
        <f t="shared" ref="AK12:AK13" si="15">AH12*(M12-X12)</f>
        <v>61.237499999999997</v>
      </c>
      <c r="AL12" s="12">
        <f t="shared" si="8"/>
        <v>0</v>
      </c>
      <c r="AM12" s="12">
        <f t="shared" ref="AM12:AM13" si="16">SUM(AK12:AL12)</f>
        <v>61.237499999999997</v>
      </c>
      <c r="AO12" s="9">
        <f t="shared" ref="AO12:AO13" si="17">S12-AM12</f>
        <v>20.412500000000009</v>
      </c>
      <c r="AP12" s="1" t="str">
        <f t="shared" si="9"/>
        <v/>
      </c>
    </row>
    <row r="13" spans="2:42">
      <c r="B13" s="1">
        <v>1</v>
      </c>
      <c r="C13" s="1" t="s">
        <v>57</v>
      </c>
      <c r="D13" s="17" t="s">
        <v>55</v>
      </c>
      <c r="E13" s="27">
        <v>0.49930000000000002</v>
      </c>
      <c r="F13" s="17">
        <v>100</v>
      </c>
      <c r="G13" s="18">
        <v>0.05</v>
      </c>
      <c r="H13" s="17">
        <v>151</v>
      </c>
      <c r="I13" s="19">
        <v>0.3125</v>
      </c>
      <c r="J13" s="19">
        <v>0.72916666666666663</v>
      </c>
      <c r="K13" s="7">
        <f>J13-I13</f>
        <v>0.41666666666666663</v>
      </c>
      <c r="L13" s="8">
        <f>ROUND(HOUR(K13)+MINUTE(K13)/60,4)</f>
        <v>10</v>
      </c>
      <c r="M13" s="9">
        <f t="shared" si="0"/>
        <v>15.1</v>
      </c>
      <c r="N13" s="9">
        <f t="shared" si="1"/>
        <v>7.3</v>
      </c>
      <c r="O13" s="9">
        <f>IF(F13-(SUMIFS($O$11:O12,$D$11:D12,$D13)+L13)&gt;=0,L13,F13-(SUMIFS($O$11:O12,$D$11:D12,$D13)))</f>
        <v>10</v>
      </c>
      <c r="P13" s="10">
        <f t="shared" si="10"/>
        <v>73</v>
      </c>
      <c r="Q13" s="10">
        <f>ROUND(P13*$G13,4)</f>
        <v>3.65</v>
      </c>
      <c r="R13" s="11">
        <f>ROUND(P13-Q13,4)</f>
        <v>69.349999999999994</v>
      </c>
      <c r="S13" s="11">
        <f>H13-R13</f>
        <v>81.650000000000006</v>
      </c>
      <c r="U13" s="10">
        <f t="shared" si="11"/>
        <v>3.65</v>
      </c>
      <c r="V13" s="10">
        <f>(R13+(R13*(($G13*100)/(100-($G13*100)))))-U13</f>
        <v>69.349999999999994</v>
      </c>
      <c r="W13" s="10">
        <f>H13-V13</f>
        <v>81.650000000000006</v>
      </c>
      <c r="X13" s="10">
        <f t="shared" si="2"/>
        <v>6.9349999999999996</v>
      </c>
      <c r="Z13" s="19">
        <v>0.33333333333333331</v>
      </c>
      <c r="AA13" s="19">
        <v>0.64583333333333337</v>
      </c>
      <c r="AB13" s="7">
        <f t="shared" si="12"/>
        <v>0.31250000000000006</v>
      </c>
      <c r="AC13" s="8">
        <f t="shared" si="13"/>
        <v>7.5</v>
      </c>
      <c r="AD13" s="1" t="str">
        <f t="shared" si="3"/>
        <v>All Hours</v>
      </c>
      <c r="AE13" s="8">
        <f t="shared" si="4"/>
        <v>7.5</v>
      </c>
      <c r="AF13" s="8">
        <f>AC13-AE13</f>
        <v>0</v>
      </c>
      <c r="AG13" s="9">
        <f>IF((kindy_hours-SUM($AG$11:AG12)-AC13)&gt;=0,AC13,kindy_hours-SUM($AG$11:AG12))</f>
        <v>0</v>
      </c>
      <c r="AH13" s="12">
        <f>IF(AG13&gt;=AE13,AE13,MIN(AG13,AE13))</f>
        <v>0</v>
      </c>
      <c r="AI13" s="12">
        <f>IF((AG13-AE13)&gt;=AF13,AF13,MAX(0,(AG13-AE13)))</f>
        <v>0</v>
      </c>
      <c r="AJ13" s="12">
        <f t="shared" si="14"/>
        <v>0</v>
      </c>
      <c r="AK13" s="12">
        <f t="shared" si="15"/>
        <v>0</v>
      </c>
      <c r="AL13" s="12">
        <f>AI13*(M13)</f>
        <v>0</v>
      </c>
      <c r="AM13" s="12">
        <f t="shared" si="16"/>
        <v>0</v>
      </c>
      <c r="AO13" s="9">
        <f t="shared" si="17"/>
        <v>81.650000000000006</v>
      </c>
      <c r="AP13" s="1" t="str">
        <f>IF(OR(AND($AC13&gt;=5,$AC13&lt;=7.5),$AC13=0),"","Kindy Program Session Hours must be either 5 hrs or 7.5 hrs")</f>
        <v/>
      </c>
    </row>
    <row r="14" spans="2:42">
      <c r="B14" s="1">
        <v>1</v>
      </c>
      <c r="C14" s="1" t="s">
        <v>58</v>
      </c>
      <c r="D14" s="17" t="s">
        <v>55</v>
      </c>
      <c r="E14" s="27">
        <v>0.49930000000000002</v>
      </c>
      <c r="F14" s="17">
        <v>100</v>
      </c>
      <c r="G14" s="18">
        <v>0.05</v>
      </c>
      <c r="H14" s="17">
        <v>151</v>
      </c>
      <c r="I14" s="19">
        <v>0.3125</v>
      </c>
      <c r="J14" s="19">
        <v>0.72916666666666663</v>
      </c>
      <c r="K14" s="7">
        <f t="shared" ref="K14:K20" si="18">J14-I14</f>
        <v>0.41666666666666663</v>
      </c>
      <c r="L14" s="8">
        <f t="shared" ref="L14:L20" si="19">ROUND(HOUR(K14)+MINUTE(K14)/60,4)</f>
        <v>10</v>
      </c>
      <c r="M14" s="9">
        <f t="shared" si="0"/>
        <v>15.1</v>
      </c>
      <c r="N14" s="9">
        <f t="shared" si="1"/>
        <v>7.3</v>
      </c>
      <c r="O14" s="9">
        <f>IF(F14-(SUMIFS($O$11:O13,$D$11:D13,$D14)+L14)&gt;=0,L14,F14-(SUMIFS($O$11:O13,$D$11:D13,$D14)))</f>
        <v>10</v>
      </c>
      <c r="P14" s="10">
        <f t="shared" si="10"/>
        <v>73</v>
      </c>
      <c r="Q14" s="10">
        <f t="shared" ref="Q14:Q20" si="20">ROUND(P14*$G14,4)</f>
        <v>3.65</v>
      </c>
      <c r="R14" s="11">
        <f t="shared" ref="R14:R20" si="21">ROUND(P14-Q14,4)</f>
        <v>69.349999999999994</v>
      </c>
      <c r="S14" s="11">
        <f t="shared" ref="S14:S20" si="22">H14-R14</f>
        <v>81.650000000000006</v>
      </c>
      <c r="U14" s="10">
        <f t="shared" si="11"/>
        <v>3.65</v>
      </c>
      <c r="V14" s="10">
        <f t="shared" ref="V14:V20" si="23">(R14+(R14*(($G14*100)/(100-($G14*100)))))-U14</f>
        <v>69.349999999999994</v>
      </c>
      <c r="W14" s="10">
        <f t="shared" ref="W14:W20" si="24">H14-V14</f>
        <v>81.650000000000006</v>
      </c>
      <c r="X14" s="10">
        <f>IF(O14=0,0,V14/O14)</f>
        <v>6.9349999999999996</v>
      </c>
      <c r="Z14" s="19">
        <v>0.33333333333333331</v>
      </c>
      <c r="AA14" s="19">
        <v>0.64583333333333337</v>
      </c>
      <c r="AB14" s="7">
        <f t="shared" si="12"/>
        <v>0.31250000000000006</v>
      </c>
      <c r="AC14" s="8">
        <f t="shared" si="13"/>
        <v>7.5</v>
      </c>
      <c r="AD14" s="1" t="str">
        <f t="shared" si="3"/>
        <v>All Hours</v>
      </c>
      <c r="AE14" s="8">
        <f t="shared" si="4"/>
        <v>7.5</v>
      </c>
      <c r="AF14" s="8">
        <f t="shared" ref="AF14:AF20" si="25">AC14-AE14</f>
        <v>0</v>
      </c>
      <c r="AG14" s="9">
        <f>IF((kindy_hours-SUM($AG$11:AG13)-AC14)&gt;=0,AC14,kindy_hours-SUM($AG$11:AG13))</f>
        <v>0</v>
      </c>
      <c r="AH14" s="12">
        <f t="shared" ref="AH14:AH20" si="26">IF(AG14&gt;=AE14,AE14,MIN(AG14,AE14))</f>
        <v>0</v>
      </c>
      <c r="AI14" s="12">
        <f t="shared" ref="AI14:AI20" si="27">IF((AG14-AE14)&gt;=AF14,AF14,MAX(0,(AG14-AE14)))</f>
        <v>0</v>
      </c>
      <c r="AJ14" s="12">
        <f t="shared" ref="AJ14:AJ20" si="28">(AC14-SUM(AE14:AF14))+(AG14-SUM(AH14:AI14))</f>
        <v>0</v>
      </c>
      <c r="AK14" s="12">
        <f t="shared" ref="AK14:AK20" si="29">AH14*(M14-X14)</f>
        <v>0</v>
      </c>
      <c r="AL14" s="12">
        <f t="shared" ref="AL14:AL20" si="30">AI14*(M14)</f>
        <v>0</v>
      </c>
      <c r="AM14" s="12">
        <f t="shared" ref="AM14:AM20" si="31">SUM(AK14:AL14)</f>
        <v>0</v>
      </c>
      <c r="AO14" s="9">
        <f t="shared" ref="AO14:AO20" si="32">S14-AM14</f>
        <v>81.650000000000006</v>
      </c>
      <c r="AP14" s="1" t="str">
        <f t="shared" ref="AP14:AP20" si="33">IF(OR(AND($AC14&gt;=5,$AC14&lt;=7.5),$AC14=0),"","Kindy Program Session Hours must be either 5 hrs or 7.5 hrs")</f>
        <v/>
      </c>
    </row>
    <row r="15" spans="2:42">
      <c r="B15" s="1">
        <v>1</v>
      </c>
      <c r="C15" s="1" t="s">
        <v>59</v>
      </c>
      <c r="D15" s="17" t="s">
        <v>55</v>
      </c>
      <c r="E15" s="27">
        <v>0.49930000000000002</v>
      </c>
      <c r="F15" s="17">
        <v>100</v>
      </c>
      <c r="G15" s="18">
        <v>0.05</v>
      </c>
      <c r="H15" s="17">
        <v>151</v>
      </c>
      <c r="I15" s="19">
        <v>0.3125</v>
      </c>
      <c r="J15" s="19">
        <v>0.72916666666666663</v>
      </c>
      <c r="K15" s="7">
        <f t="shared" si="18"/>
        <v>0.41666666666666663</v>
      </c>
      <c r="L15" s="8">
        <f t="shared" si="19"/>
        <v>10</v>
      </c>
      <c r="M15" s="9">
        <f t="shared" si="0"/>
        <v>15.1</v>
      </c>
      <c r="N15" s="9">
        <f t="shared" si="1"/>
        <v>7.3</v>
      </c>
      <c r="O15" s="9">
        <f>IF(F15-(SUMIFS($O$11:O14,$D$11:D14,$D15)+L15)&gt;=0,L15,F15-(SUMIFS($O$11:O14,$D$11:D14,$D15)))</f>
        <v>10</v>
      </c>
      <c r="P15" s="10">
        <f t="shared" si="10"/>
        <v>73</v>
      </c>
      <c r="Q15" s="10">
        <f t="shared" si="20"/>
        <v>3.65</v>
      </c>
      <c r="R15" s="11">
        <f t="shared" si="21"/>
        <v>69.349999999999994</v>
      </c>
      <c r="S15" s="11">
        <f t="shared" si="22"/>
        <v>81.650000000000006</v>
      </c>
      <c r="U15" s="10">
        <f t="shared" si="11"/>
        <v>3.65</v>
      </c>
      <c r="V15" s="10">
        <f t="shared" si="23"/>
        <v>69.349999999999994</v>
      </c>
      <c r="W15" s="10">
        <f t="shared" si="24"/>
        <v>81.650000000000006</v>
      </c>
      <c r="X15" s="10">
        <f t="shared" ref="X15:X20" si="34">IF(O15=0,0,V15/O15)</f>
        <v>6.9349999999999996</v>
      </c>
      <c r="Z15" s="19">
        <v>0.33333333333333331</v>
      </c>
      <c r="AA15" s="19">
        <v>0.64583333333333337</v>
      </c>
      <c r="AB15" s="7">
        <f t="shared" si="12"/>
        <v>0.31250000000000006</v>
      </c>
      <c r="AC15" s="8">
        <f t="shared" si="13"/>
        <v>7.5</v>
      </c>
      <c r="AD15" s="1" t="str">
        <f t="shared" si="3"/>
        <v>All Hours</v>
      </c>
      <c r="AE15" s="8">
        <f t="shared" si="4"/>
        <v>7.5</v>
      </c>
      <c r="AF15" s="8">
        <f t="shared" si="25"/>
        <v>0</v>
      </c>
      <c r="AG15" s="9">
        <f>IF((kindy_hours-SUM($AG$11:AG14)-AC15)&gt;=0,AC15,kindy_hours-SUM($AG$11:AG14))</f>
        <v>0</v>
      </c>
      <c r="AH15" s="12">
        <f t="shared" si="26"/>
        <v>0</v>
      </c>
      <c r="AI15" s="12">
        <f t="shared" si="27"/>
        <v>0</v>
      </c>
      <c r="AJ15" s="12">
        <f t="shared" si="28"/>
        <v>0</v>
      </c>
      <c r="AK15" s="12">
        <f t="shared" si="29"/>
        <v>0</v>
      </c>
      <c r="AL15" s="12">
        <f t="shared" si="30"/>
        <v>0</v>
      </c>
      <c r="AM15" s="12">
        <f t="shared" si="31"/>
        <v>0</v>
      </c>
      <c r="AO15" s="9">
        <f t="shared" si="32"/>
        <v>81.650000000000006</v>
      </c>
      <c r="AP15" s="1" t="str">
        <f t="shared" si="33"/>
        <v/>
      </c>
    </row>
    <row r="16" spans="2:42">
      <c r="B16" s="1">
        <v>2</v>
      </c>
      <c r="C16" s="1" t="s">
        <v>54</v>
      </c>
      <c r="D16" s="17" t="s">
        <v>55</v>
      </c>
      <c r="E16" s="27">
        <v>0.49930000000000002</v>
      </c>
      <c r="F16" s="17">
        <v>100</v>
      </c>
      <c r="G16" s="18">
        <v>0.05</v>
      </c>
      <c r="H16" s="17">
        <v>151</v>
      </c>
      <c r="I16" s="19">
        <v>0.3125</v>
      </c>
      <c r="J16" s="19">
        <v>0.72916666666666663</v>
      </c>
      <c r="K16" s="7">
        <f t="shared" si="18"/>
        <v>0.41666666666666663</v>
      </c>
      <c r="L16" s="8">
        <f t="shared" si="19"/>
        <v>10</v>
      </c>
      <c r="M16" s="9">
        <f t="shared" si="0"/>
        <v>15.1</v>
      </c>
      <c r="N16" s="9">
        <f t="shared" si="1"/>
        <v>7.3</v>
      </c>
      <c r="O16" s="9">
        <f>IF(F16-(SUMIFS($O$11:O15,$D$11:D15,$D16)+L16)&gt;=0,L16,F16-(SUMIFS($O$11:O15,$D$11:D15,$D16)))</f>
        <v>10</v>
      </c>
      <c r="P16" s="10">
        <f t="shared" si="10"/>
        <v>73</v>
      </c>
      <c r="Q16" s="10">
        <f t="shared" si="20"/>
        <v>3.65</v>
      </c>
      <c r="R16" s="11">
        <f t="shared" si="21"/>
        <v>69.349999999999994</v>
      </c>
      <c r="S16" s="11">
        <f t="shared" si="22"/>
        <v>81.650000000000006</v>
      </c>
      <c r="U16" s="10">
        <f t="shared" si="11"/>
        <v>3.65</v>
      </c>
      <c r="V16" s="10">
        <f t="shared" si="23"/>
        <v>69.349999999999994</v>
      </c>
      <c r="W16" s="10">
        <f t="shared" si="24"/>
        <v>81.650000000000006</v>
      </c>
      <c r="X16" s="10">
        <f t="shared" si="34"/>
        <v>6.9349999999999996</v>
      </c>
      <c r="Z16" s="19">
        <v>0.33333333333333331</v>
      </c>
      <c r="AA16" s="19">
        <v>0.64583333333333337</v>
      </c>
      <c r="AB16" s="7">
        <f t="shared" ref="AB16:AB20" si="35">AA16-Z16</f>
        <v>0.31250000000000006</v>
      </c>
      <c r="AC16" s="8">
        <f t="shared" si="13"/>
        <v>7.5</v>
      </c>
      <c r="AD16" s="1" t="str">
        <f t="shared" si="3"/>
        <v>All Hours</v>
      </c>
      <c r="AE16" s="8">
        <f t="shared" si="4"/>
        <v>7.5</v>
      </c>
      <c r="AF16" s="8">
        <f t="shared" si="25"/>
        <v>0</v>
      </c>
      <c r="AG16" s="9">
        <f>IF((kindy_hours-AC16)&gt;=0,AC16,kindy_hours)</f>
        <v>7.5</v>
      </c>
      <c r="AH16" s="12">
        <f t="shared" si="26"/>
        <v>7.5</v>
      </c>
      <c r="AI16" s="12">
        <f t="shared" si="27"/>
        <v>0</v>
      </c>
      <c r="AJ16" s="12">
        <f t="shared" si="28"/>
        <v>0</v>
      </c>
      <c r="AK16" s="12">
        <f t="shared" si="29"/>
        <v>61.237499999999997</v>
      </c>
      <c r="AL16" s="12">
        <f t="shared" si="30"/>
        <v>0</v>
      </c>
      <c r="AM16" s="12">
        <f t="shared" si="31"/>
        <v>61.237499999999997</v>
      </c>
      <c r="AO16" s="9">
        <f t="shared" si="32"/>
        <v>20.412500000000009</v>
      </c>
      <c r="AP16" s="1" t="str">
        <f t="shared" si="33"/>
        <v/>
      </c>
    </row>
    <row r="17" spans="2:42">
      <c r="B17" s="1">
        <v>2</v>
      </c>
      <c r="C17" s="1" t="s">
        <v>56</v>
      </c>
      <c r="D17" s="17" t="s">
        <v>55</v>
      </c>
      <c r="E17" s="27">
        <v>0.49930000000000002</v>
      </c>
      <c r="F17" s="17">
        <v>100</v>
      </c>
      <c r="G17" s="18">
        <v>0.05</v>
      </c>
      <c r="H17" s="17">
        <v>151</v>
      </c>
      <c r="I17" s="19">
        <v>0.3125</v>
      </c>
      <c r="J17" s="19">
        <v>0.72916666666666663</v>
      </c>
      <c r="K17" s="7">
        <f t="shared" si="18"/>
        <v>0.41666666666666663</v>
      </c>
      <c r="L17" s="8">
        <f t="shared" si="19"/>
        <v>10</v>
      </c>
      <c r="M17" s="9">
        <f t="shared" si="0"/>
        <v>15.1</v>
      </c>
      <c r="N17" s="9">
        <f t="shared" si="1"/>
        <v>7.3</v>
      </c>
      <c r="O17" s="9">
        <f>IF(F17-(SUMIFS($O$11:O16,$D$11:D16,$D17)+L17)&gt;=0,L17,F17-(SUMIFS($O$11:O16,$D$11:D16,$D17)))</f>
        <v>10</v>
      </c>
      <c r="P17" s="10">
        <f t="shared" si="10"/>
        <v>73</v>
      </c>
      <c r="Q17" s="10">
        <f t="shared" si="20"/>
        <v>3.65</v>
      </c>
      <c r="R17" s="11">
        <f t="shared" si="21"/>
        <v>69.349999999999994</v>
      </c>
      <c r="S17" s="11">
        <f t="shared" si="22"/>
        <v>81.650000000000006</v>
      </c>
      <c r="U17" s="10">
        <f t="shared" si="11"/>
        <v>3.65</v>
      </c>
      <c r="V17" s="10">
        <f t="shared" si="23"/>
        <v>69.349999999999994</v>
      </c>
      <c r="W17" s="10">
        <f t="shared" si="24"/>
        <v>81.650000000000006</v>
      </c>
      <c r="X17" s="10">
        <f t="shared" si="34"/>
        <v>6.9349999999999996</v>
      </c>
      <c r="Z17" s="19">
        <v>0.33333333333333331</v>
      </c>
      <c r="AA17" s="19">
        <v>0.64583333333333337</v>
      </c>
      <c r="AB17" s="7">
        <f t="shared" si="35"/>
        <v>0.31250000000000006</v>
      </c>
      <c r="AC17" s="8">
        <f t="shared" si="13"/>
        <v>7.5</v>
      </c>
      <c r="AD17" s="1" t="str">
        <f t="shared" si="3"/>
        <v>All Hours</v>
      </c>
      <c r="AE17" s="8">
        <f t="shared" si="4"/>
        <v>7.5</v>
      </c>
      <c r="AF17" s="8">
        <f t="shared" si="25"/>
        <v>0</v>
      </c>
      <c r="AG17" s="9">
        <f>IF(SUM($AG$11:$AG$15)=0,MAX(kindy_hours-SUM($AG$16:AG16),0),IF(kindy_hours-SUM($AG$11:$AG$15)&gt;0,MIN(AC17,MAX(kindy_hours_fn-SUM($AG$11:AG16),0)),MIN(AC17,MAX(kindy_hours-SUM($AG$16:AG16),0))))</f>
        <v>7.5</v>
      </c>
      <c r="AH17" s="12">
        <f t="shared" si="26"/>
        <v>7.5</v>
      </c>
      <c r="AI17" s="12">
        <f t="shared" si="27"/>
        <v>0</v>
      </c>
      <c r="AJ17" s="12">
        <f t="shared" si="28"/>
        <v>0</v>
      </c>
      <c r="AK17" s="12">
        <f t="shared" si="29"/>
        <v>61.237499999999997</v>
      </c>
      <c r="AL17" s="12">
        <f t="shared" si="30"/>
        <v>0</v>
      </c>
      <c r="AM17" s="12">
        <f t="shared" si="31"/>
        <v>61.237499999999997</v>
      </c>
      <c r="AO17" s="9">
        <f t="shared" si="32"/>
        <v>20.412500000000009</v>
      </c>
      <c r="AP17" s="1" t="str">
        <f t="shared" si="33"/>
        <v/>
      </c>
    </row>
    <row r="18" spans="2:42">
      <c r="B18" s="1">
        <v>2</v>
      </c>
      <c r="C18" s="1" t="s">
        <v>57</v>
      </c>
      <c r="D18" s="17" t="s">
        <v>55</v>
      </c>
      <c r="E18" s="27">
        <v>0.49930000000000002</v>
      </c>
      <c r="F18" s="17">
        <v>100</v>
      </c>
      <c r="G18" s="18">
        <v>0.05</v>
      </c>
      <c r="H18" s="17">
        <v>151</v>
      </c>
      <c r="I18" s="19">
        <v>0.3125</v>
      </c>
      <c r="J18" s="19">
        <v>0.72916666666666663</v>
      </c>
      <c r="K18" s="7">
        <f t="shared" si="18"/>
        <v>0.41666666666666663</v>
      </c>
      <c r="L18" s="8">
        <f t="shared" si="19"/>
        <v>10</v>
      </c>
      <c r="M18" s="9">
        <f t="shared" si="0"/>
        <v>15.1</v>
      </c>
      <c r="N18" s="9">
        <f t="shared" si="1"/>
        <v>7.3</v>
      </c>
      <c r="O18" s="9">
        <f>IF(F18-(SUMIFS($O$11:O17,$D$11:D17,$D18)+L18)&gt;=0,L18,F18-(SUMIFS($O$11:O17,$D$11:D17,$D18)))</f>
        <v>10</v>
      </c>
      <c r="P18" s="10">
        <f t="shared" si="10"/>
        <v>73</v>
      </c>
      <c r="Q18" s="10">
        <f t="shared" si="20"/>
        <v>3.65</v>
      </c>
      <c r="R18" s="11">
        <f t="shared" si="21"/>
        <v>69.349999999999994</v>
      </c>
      <c r="S18" s="11">
        <f t="shared" si="22"/>
        <v>81.650000000000006</v>
      </c>
      <c r="U18" s="10">
        <f t="shared" si="11"/>
        <v>3.65</v>
      </c>
      <c r="V18" s="10">
        <f t="shared" si="23"/>
        <v>69.349999999999994</v>
      </c>
      <c r="W18" s="10">
        <f t="shared" si="24"/>
        <v>81.650000000000006</v>
      </c>
      <c r="X18" s="10">
        <f t="shared" si="34"/>
        <v>6.9349999999999996</v>
      </c>
      <c r="Z18" s="19">
        <v>0.33333333333333331</v>
      </c>
      <c r="AA18" s="19">
        <v>0.64583333333333337</v>
      </c>
      <c r="AB18" s="7">
        <f t="shared" si="35"/>
        <v>0.31250000000000006</v>
      </c>
      <c r="AC18" s="8">
        <f t="shared" si="13"/>
        <v>7.5</v>
      </c>
      <c r="AD18" s="1" t="str">
        <f t="shared" si="3"/>
        <v>All Hours</v>
      </c>
      <c r="AE18" s="8">
        <f t="shared" si="4"/>
        <v>7.5</v>
      </c>
      <c r="AF18" s="8">
        <f t="shared" si="25"/>
        <v>0</v>
      </c>
      <c r="AG18" s="9">
        <f>IF(SUM($AG$11:$AG$15)=0,MAX(kindy_hours-SUM($AG$16:AG17),0),IF(kindy_hours-SUM($AG$11:$AG$15)&gt;0,MIN(AC18,MAX(kindy_hours_fn-SUM($AG$11:AG17),0)),MIN(AC18,MAX(kindy_hours-SUM($AG$16:AG17),0))))</f>
        <v>0</v>
      </c>
      <c r="AH18" s="12">
        <f t="shared" si="26"/>
        <v>0</v>
      </c>
      <c r="AI18" s="12">
        <f t="shared" si="27"/>
        <v>0</v>
      </c>
      <c r="AJ18" s="12">
        <f t="shared" si="28"/>
        <v>0</v>
      </c>
      <c r="AK18" s="12">
        <f t="shared" si="29"/>
        <v>0</v>
      </c>
      <c r="AL18" s="12">
        <f t="shared" si="30"/>
        <v>0</v>
      </c>
      <c r="AM18" s="12">
        <f t="shared" si="31"/>
        <v>0</v>
      </c>
      <c r="AO18" s="9">
        <f t="shared" si="32"/>
        <v>81.650000000000006</v>
      </c>
      <c r="AP18" s="1" t="str">
        <f t="shared" si="33"/>
        <v/>
      </c>
    </row>
    <row r="19" spans="2:42">
      <c r="B19" s="1">
        <v>2</v>
      </c>
      <c r="C19" s="1" t="s">
        <v>58</v>
      </c>
      <c r="D19" s="17" t="s">
        <v>55</v>
      </c>
      <c r="E19" s="27">
        <v>0.49930000000000002</v>
      </c>
      <c r="F19" s="17">
        <v>100</v>
      </c>
      <c r="G19" s="18">
        <v>0.05</v>
      </c>
      <c r="H19" s="17">
        <v>151</v>
      </c>
      <c r="I19" s="19">
        <v>0.3125</v>
      </c>
      <c r="J19" s="19">
        <v>0.72916666666666663</v>
      </c>
      <c r="K19" s="7">
        <f t="shared" si="18"/>
        <v>0.41666666666666663</v>
      </c>
      <c r="L19" s="8">
        <f t="shared" si="19"/>
        <v>10</v>
      </c>
      <c r="M19" s="9">
        <f t="shared" si="0"/>
        <v>15.1</v>
      </c>
      <c r="N19" s="9">
        <f t="shared" si="1"/>
        <v>7.3</v>
      </c>
      <c r="O19" s="9">
        <f>IF(F19-(SUMIFS($O$11:O18,$D$11:D18,$D19)+L19)&gt;=0,L19,F19-(SUMIFS($O$11:O18,$D$11:D18,$D19)))</f>
        <v>10</v>
      </c>
      <c r="P19" s="10">
        <f t="shared" si="10"/>
        <v>73</v>
      </c>
      <c r="Q19" s="10">
        <f t="shared" si="20"/>
        <v>3.65</v>
      </c>
      <c r="R19" s="11">
        <f t="shared" si="21"/>
        <v>69.349999999999994</v>
      </c>
      <c r="S19" s="11">
        <f t="shared" si="22"/>
        <v>81.650000000000006</v>
      </c>
      <c r="U19" s="10">
        <f t="shared" si="11"/>
        <v>3.65</v>
      </c>
      <c r="V19" s="10">
        <f t="shared" si="23"/>
        <v>69.349999999999994</v>
      </c>
      <c r="W19" s="10">
        <f t="shared" si="24"/>
        <v>81.650000000000006</v>
      </c>
      <c r="X19" s="10">
        <f t="shared" si="34"/>
        <v>6.9349999999999996</v>
      </c>
      <c r="Z19" s="19">
        <v>0.33333333333333331</v>
      </c>
      <c r="AA19" s="19">
        <v>0.64583333333333337</v>
      </c>
      <c r="AB19" s="7">
        <f t="shared" si="35"/>
        <v>0.31250000000000006</v>
      </c>
      <c r="AC19" s="8">
        <f t="shared" si="13"/>
        <v>7.5</v>
      </c>
      <c r="AD19" s="1" t="str">
        <f t="shared" si="3"/>
        <v>All Hours</v>
      </c>
      <c r="AE19" s="8">
        <f t="shared" si="4"/>
        <v>7.5</v>
      </c>
      <c r="AF19" s="8">
        <f t="shared" si="25"/>
        <v>0</v>
      </c>
      <c r="AG19" s="9">
        <f>IF(SUM($AG$11:$AG$15)=0,MAX(kindy_hours-SUM($AG$16:AG18),0),IF(kindy_hours-SUM($AG$11:$AG$15)&gt;0,MIN(AC19,MAX(kindy_hours_fn-SUM($AG$11:AG18),0)),MIN(AC19,MAX(kindy_hours-SUM($AG$16:AG18),0))))</f>
        <v>0</v>
      </c>
      <c r="AH19" s="12">
        <f t="shared" si="26"/>
        <v>0</v>
      </c>
      <c r="AI19" s="12">
        <f t="shared" si="27"/>
        <v>0</v>
      </c>
      <c r="AJ19" s="12">
        <f t="shared" si="28"/>
        <v>0</v>
      </c>
      <c r="AK19" s="12">
        <f t="shared" si="29"/>
        <v>0</v>
      </c>
      <c r="AL19" s="12">
        <f t="shared" si="30"/>
        <v>0</v>
      </c>
      <c r="AM19" s="12">
        <f t="shared" si="31"/>
        <v>0</v>
      </c>
      <c r="AO19" s="9">
        <f t="shared" si="32"/>
        <v>81.650000000000006</v>
      </c>
      <c r="AP19" s="1" t="str">
        <f t="shared" si="33"/>
        <v/>
      </c>
    </row>
    <row r="20" spans="2:42">
      <c r="B20" s="1">
        <v>2</v>
      </c>
      <c r="C20" s="1" t="s">
        <v>59</v>
      </c>
      <c r="D20" s="17" t="s">
        <v>55</v>
      </c>
      <c r="E20" s="27">
        <v>0.49930000000000002</v>
      </c>
      <c r="F20" s="17">
        <v>100</v>
      </c>
      <c r="G20" s="18">
        <v>0.05</v>
      </c>
      <c r="H20" s="17">
        <v>151</v>
      </c>
      <c r="I20" s="19">
        <v>0.3125</v>
      </c>
      <c r="J20" s="19">
        <v>0.72916666666666663</v>
      </c>
      <c r="K20" s="7">
        <f t="shared" si="18"/>
        <v>0.41666666666666663</v>
      </c>
      <c r="L20" s="8">
        <f t="shared" si="19"/>
        <v>10</v>
      </c>
      <c r="M20" s="9">
        <f t="shared" si="0"/>
        <v>15.1</v>
      </c>
      <c r="N20" s="9">
        <f t="shared" si="1"/>
        <v>7.3</v>
      </c>
      <c r="O20" s="9">
        <f>IF(F20-(SUMIFS($O$11:O19,$D$11:D19,$D20)+L20)&gt;=0,L20,F20-(SUMIFS($O$11:O19,$D$11:D19,$D20)))</f>
        <v>10</v>
      </c>
      <c r="P20" s="10">
        <f t="shared" si="10"/>
        <v>73</v>
      </c>
      <c r="Q20" s="10">
        <f t="shared" si="20"/>
        <v>3.65</v>
      </c>
      <c r="R20" s="11">
        <f t="shared" si="21"/>
        <v>69.349999999999994</v>
      </c>
      <c r="S20" s="11">
        <f t="shared" si="22"/>
        <v>81.650000000000006</v>
      </c>
      <c r="U20" s="10">
        <f t="shared" si="11"/>
        <v>3.65</v>
      </c>
      <c r="V20" s="10">
        <f t="shared" si="23"/>
        <v>69.349999999999994</v>
      </c>
      <c r="W20" s="10">
        <f t="shared" si="24"/>
        <v>81.650000000000006</v>
      </c>
      <c r="X20" s="10">
        <f t="shared" si="34"/>
        <v>6.9349999999999996</v>
      </c>
      <c r="Z20" s="19">
        <v>0.33333333333333331</v>
      </c>
      <c r="AA20" s="19">
        <v>0.64583333333333337</v>
      </c>
      <c r="AB20" s="7">
        <f t="shared" si="35"/>
        <v>0.31250000000000006</v>
      </c>
      <c r="AC20" s="8">
        <f t="shared" si="13"/>
        <v>7.5</v>
      </c>
      <c r="AD20" s="1" t="str">
        <f>IF(OR(AC20=0,O20=0),"",IF(O20&gt;=L20,"All Hours",IF(AND(O20&lt;&gt;0,AC20&lt;&gt;0),"Part","None")))</f>
        <v>All Hours</v>
      </c>
      <c r="AE20" s="8">
        <f>IF(O20&gt;=L20,AC20,IF(Z20&lt;&gt;"",MAX(0,O20-ROUND(HOUR(Z20-I20)+MINUTE(Z20-I20)/60,4)),0))</f>
        <v>7.5</v>
      </c>
      <c r="AF20" s="8">
        <f t="shared" si="25"/>
        <v>0</v>
      </c>
      <c r="AG20" s="9">
        <f>IF(SUM($AG$11:$AG$15)=0,MAX(kindy_hours-SUM($AG$16:AG19),0),IF(kindy_hours-SUM($AG$11:$AG$15)&gt;0,MIN(AC20,MAX(kindy_hours_fn-SUM($AG$11:AG19),0)),MIN(AC20,MAX(kindy_hours-SUM($AG$16:AG19),0))))</f>
        <v>0</v>
      </c>
      <c r="AH20" s="12">
        <f t="shared" si="26"/>
        <v>0</v>
      </c>
      <c r="AI20" s="12">
        <f t="shared" si="27"/>
        <v>0</v>
      </c>
      <c r="AJ20" s="12">
        <f t="shared" si="28"/>
        <v>0</v>
      </c>
      <c r="AK20" s="12">
        <f t="shared" si="29"/>
        <v>0</v>
      </c>
      <c r="AL20" s="12">
        <f t="shared" si="30"/>
        <v>0</v>
      </c>
      <c r="AM20" s="12">
        <f t="shared" si="31"/>
        <v>0</v>
      </c>
      <c r="AO20" s="9">
        <f t="shared" si="32"/>
        <v>81.650000000000006</v>
      </c>
      <c r="AP20" s="1" t="str">
        <f t="shared" si="33"/>
        <v/>
      </c>
    </row>
    <row r="21" spans="2:42" s="13" customFormat="1">
      <c r="AG21" s="26"/>
      <c r="AM21" s="26"/>
    </row>
    <row r="23" spans="2:42">
      <c r="B23" s="1">
        <v>1</v>
      </c>
      <c r="C23" s="1" t="s">
        <v>60</v>
      </c>
      <c r="H23" s="11">
        <f>SUMIFS(H$11:H$20,$B$11:$B$20,$B23)</f>
        <v>755</v>
      </c>
      <c r="I23" s="11"/>
      <c r="J23" s="11"/>
      <c r="K23" s="11"/>
      <c r="L23" s="11"/>
      <c r="M23" s="11"/>
      <c r="N23" s="11"/>
      <c r="O23" s="11"/>
      <c r="P23" s="11">
        <f t="shared" ref="P23:S24" si="36">SUMIFS(P$11:P$20,$B$11:$B$20,$B23)</f>
        <v>365</v>
      </c>
      <c r="Q23" s="11">
        <f t="shared" si="36"/>
        <v>18.25</v>
      </c>
      <c r="R23" s="11">
        <f t="shared" si="36"/>
        <v>346.75</v>
      </c>
      <c r="S23" s="11">
        <f t="shared" si="36"/>
        <v>408.25</v>
      </c>
      <c r="T23" s="11"/>
      <c r="U23" s="11">
        <f t="shared" ref="U23:W24" si="37">SUMIFS(U$11:U$20,$B$11:$B$20,$B23)</f>
        <v>18.25</v>
      </c>
      <c r="V23" s="11">
        <f t="shared" si="37"/>
        <v>346.75</v>
      </c>
      <c r="W23" s="11">
        <f t="shared" si="37"/>
        <v>408.25</v>
      </c>
      <c r="X23" s="11"/>
      <c r="Y23" s="11"/>
      <c r="Z23" s="11"/>
      <c r="AA23" s="11"/>
      <c r="AB23" s="11"/>
      <c r="AC23" s="11"/>
      <c r="AD23" s="11"/>
      <c r="AE23" s="11">
        <f>SUMIFS(AE$11:AE$20,$B$11:$B$20,$B23)</f>
        <v>37.5</v>
      </c>
      <c r="AF23" s="11">
        <f>SUMIFS(AF$11:AF$20,$B$11:$B$20,$B23)</f>
        <v>0</v>
      </c>
      <c r="AG23" s="11"/>
      <c r="AH23" s="11">
        <f>SUMIFS(AH$11:AH$20,$B$11:$B$20,$B23)</f>
        <v>15</v>
      </c>
      <c r="AI23" s="11">
        <f>SUMIFS(AI$11:AI$20,$B$11:$B$20,$B23)</f>
        <v>0</v>
      </c>
      <c r="AJ23" s="11"/>
      <c r="AK23" s="11">
        <f t="shared" ref="AK23:AM24" si="38">SUMIFS(AK$11:AK$20,$B$11:$B$20,$B23)</f>
        <v>122.47499999999999</v>
      </c>
      <c r="AL23" s="11">
        <f t="shared" si="38"/>
        <v>0</v>
      </c>
      <c r="AM23" s="11">
        <f t="shared" si="38"/>
        <v>122.47499999999999</v>
      </c>
      <c r="AN23" s="11"/>
      <c r="AO23" s="11">
        <f>SUMIFS(AO$11:AO$20,$B$11:$B$20,$B23)</f>
        <v>285.77500000000003</v>
      </c>
    </row>
    <row r="24" spans="2:42">
      <c r="B24" s="1">
        <v>2</v>
      </c>
      <c r="C24" s="1" t="s">
        <v>61</v>
      </c>
      <c r="H24" s="11">
        <f>SUMIFS(H$11:H$20,$B$11:$B$20,$B24)</f>
        <v>755</v>
      </c>
      <c r="I24" s="11"/>
      <c r="J24" s="11"/>
      <c r="K24" s="11"/>
      <c r="L24" s="11"/>
      <c r="M24" s="11"/>
      <c r="N24" s="11"/>
      <c r="O24" s="11"/>
      <c r="P24" s="11">
        <f t="shared" si="36"/>
        <v>365</v>
      </c>
      <c r="Q24" s="11">
        <f t="shared" si="36"/>
        <v>18.25</v>
      </c>
      <c r="R24" s="11">
        <f t="shared" si="36"/>
        <v>346.75</v>
      </c>
      <c r="S24" s="11">
        <f t="shared" si="36"/>
        <v>408.25</v>
      </c>
      <c r="T24" s="11"/>
      <c r="U24" s="11">
        <f t="shared" si="37"/>
        <v>18.25</v>
      </c>
      <c r="V24" s="11">
        <f t="shared" si="37"/>
        <v>346.75</v>
      </c>
      <c r="W24" s="11">
        <f t="shared" si="37"/>
        <v>408.25</v>
      </c>
      <c r="X24" s="11"/>
      <c r="Y24" s="11"/>
      <c r="Z24" s="11"/>
      <c r="AA24" s="11"/>
      <c r="AB24" s="11"/>
      <c r="AC24" s="11"/>
      <c r="AD24" s="11"/>
      <c r="AE24" s="11">
        <f>SUMIFS(AE$11:AE$20,$B$11:$B$20,$B24)</f>
        <v>37.5</v>
      </c>
      <c r="AF24" s="11">
        <f>SUMIFS(AF$11:AF$20,$B$11:$B$20,$B24)</f>
        <v>0</v>
      </c>
      <c r="AG24" s="11"/>
      <c r="AH24" s="11">
        <f>SUMIFS(AH$11:AH$20,$B$11:$B$20,$B24)</f>
        <v>15</v>
      </c>
      <c r="AI24" s="11">
        <f>SUMIFS(AI$11:AI$20,$B$11:$B$20,$B24)</f>
        <v>0</v>
      </c>
      <c r="AJ24" s="11"/>
      <c r="AK24" s="11">
        <f t="shared" si="38"/>
        <v>122.47499999999999</v>
      </c>
      <c r="AL24" s="11">
        <f t="shared" si="38"/>
        <v>0</v>
      </c>
      <c r="AM24" s="11">
        <f t="shared" si="38"/>
        <v>122.47499999999999</v>
      </c>
      <c r="AN24" s="11"/>
      <c r="AO24" s="11">
        <f>SUMIFS(AO$11:AO$20,$B$11:$B$20,$B24)</f>
        <v>285.77500000000003</v>
      </c>
    </row>
    <row r="25" spans="2:42">
      <c r="C25" s="2" t="s">
        <v>62</v>
      </c>
      <c r="H25" s="14">
        <f>SUM(H11:H20)</f>
        <v>1510</v>
      </c>
      <c r="I25" s="14"/>
      <c r="J25" s="14"/>
      <c r="K25" s="14"/>
      <c r="L25" s="14"/>
      <c r="M25" s="14"/>
      <c r="N25" s="14"/>
      <c r="O25" s="14"/>
      <c r="P25" s="14">
        <f>SUM(P11:P20)</f>
        <v>730</v>
      </c>
      <c r="Q25" s="14">
        <f>SUM(Q11:Q20)</f>
        <v>36.499999999999993</v>
      </c>
      <c r="R25" s="14">
        <f>SUM(R11:R20)</f>
        <v>693.50000000000011</v>
      </c>
      <c r="S25" s="14">
        <f>SUM(S11:S20)</f>
        <v>816.49999999999989</v>
      </c>
      <c r="T25" s="14"/>
      <c r="U25" s="14">
        <f>SUM(U11:U20)</f>
        <v>36.499999999999993</v>
      </c>
      <c r="V25" s="14">
        <f>SUM(V11:V20)</f>
        <v>693.50000000000011</v>
      </c>
      <c r="W25" s="14">
        <f>SUM(W11:W20)</f>
        <v>816.49999999999989</v>
      </c>
      <c r="X25" s="14"/>
      <c r="Y25" s="14"/>
      <c r="Z25" s="14"/>
      <c r="AA25" s="14"/>
      <c r="AB25" s="14"/>
      <c r="AC25" s="14"/>
      <c r="AD25" s="14"/>
      <c r="AE25" s="14">
        <f>SUM(AE11:AE20)</f>
        <v>75</v>
      </c>
      <c r="AF25" s="14">
        <f>SUM(AF11:AF20)</f>
        <v>0</v>
      </c>
      <c r="AG25" s="14"/>
      <c r="AH25" s="14">
        <f>SUM(AH11:AH20)</f>
        <v>30</v>
      </c>
      <c r="AI25" s="14">
        <f>SUM(AI11:AI20)</f>
        <v>0</v>
      </c>
      <c r="AJ25" s="14"/>
      <c r="AK25" s="14">
        <f>SUM(AK11:AK20)</f>
        <v>244.95</v>
      </c>
      <c r="AL25" s="14">
        <f>SUM(AL11:AL20)</f>
        <v>0</v>
      </c>
      <c r="AM25" s="14">
        <f>SUM(AM11:AM20)</f>
        <v>244.95</v>
      </c>
      <c r="AN25" s="14"/>
      <c r="AO25" s="14">
        <f>SUM(AO11:AO20)</f>
        <v>571.55000000000007</v>
      </c>
    </row>
    <row r="28" spans="2:42">
      <c r="K28" s="15"/>
    </row>
    <row r="29" spans="2:42">
      <c r="K29" s="15"/>
    </row>
    <row r="30" spans="2:42">
      <c r="X30" s="15"/>
    </row>
  </sheetData>
  <sheetProtection algorithmName="SHA-512" hashValue="OQGYIQPPznbIAvj1FrUUdDb3cnlZwHHOKcXCgFBenzQjRDtslfgIi/+0fRyNqvGIICgDg082HauDScPMEdRRww==" saltValue="WXgd1UUd5G4SS62aHtEU9Q==" spinCount="100000" sheet="1" objects="1" scenarios="1"/>
  <phoneticPr fontId="6" type="noConversion"/>
  <conditionalFormatting sqref="AP11:AP20">
    <cfRule type="expression" dxfId="0" priority="1">
      <formula>$AP11&lt;&gt;""</formula>
    </cfRule>
  </conditionalFormatting>
  <dataValidations count="2">
    <dataValidation type="time" allowBlank="1" showInputMessage="1" showErrorMessage="1" sqref="I11:I20 Z11:Z20" xr:uid="{C0A6E884-98C4-514B-8DB2-2D886908A58B}">
      <formula1>0.25</formula1>
      <formula2>0.75</formula2>
    </dataValidation>
    <dataValidation type="time" allowBlank="1" showInputMessage="1" showErrorMessage="1" sqref="J11:J20 AA11:AA20" xr:uid="{FEBC8C71-2543-5949-B6B5-259C98154D24}">
      <formula1>0.25</formula1>
      <formula2>0.791666666666667</formula2>
    </dataValidation>
  </dataValidations>
  <hyperlinks>
    <hyperlink ref="B8" location="Instructions!B18" display="Instructions" xr:uid="{4393FD6F-B7F9-E946-8305-568967F0F1D8}"/>
  </hyperlink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6E4D3-2B25-1446-A3B8-D87A9EA15FBE}">
  <dimension ref="B3:E6"/>
  <sheetViews>
    <sheetView workbookViewId="0">
      <selection activeCell="C4" sqref="C4"/>
    </sheetView>
  </sheetViews>
  <sheetFormatPr defaultColWidth="11" defaultRowHeight="15.75"/>
  <cols>
    <col min="2" max="2" width="19.125" bestFit="1" customWidth="1"/>
  </cols>
  <sheetData>
    <row r="3" spans="2:5">
      <c r="C3" t="s">
        <v>63</v>
      </c>
      <c r="D3" t="s">
        <v>64</v>
      </c>
      <c r="E3" t="s">
        <v>65</v>
      </c>
    </row>
    <row r="4" spans="2:5">
      <c r="B4" t="s">
        <v>66</v>
      </c>
      <c r="C4">
        <v>14.63</v>
      </c>
      <c r="D4">
        <v>14.29</v>
      </c>
      <c r="E4">
        <v>13.73</v>
      </c>
    </row>
    <row r="5" spans="2:5">
      <c r="B5" t="s">
        <v>67</v>
      </c>
      <c r="C5">
        <v>15</v>
      </c>
    </row>
    <row r="6" spans="2:5">
      <c r="B6" t="s">
        <v>68</v>
      </c>
      <c r="C6">
        <v>30</v>
      </c>
    </row>
  </sheetData>
  <sheetProtection algorithmName="SHA-512" hashValue="KSB9w24VELmqTvh+dhJ5/UbxmPXoSpAobCRtUuwjfjTZXXVJY9ZeWPOESnEuG3xa+tlsQkrMC1Wz/3mjjE9tSw==" saltValue="zHD48YvxODOaVcb6s8erZ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Kidsoft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Adrian Karzon</dc:creator>
  <cp:keywords/>
  <dc:description/>
  <cp:lastModifiedBy/>
  <cp:revision/>
  <dcterms:created xsi:type="dcterms:W3CDTF">2023-10-16T04:53:13Z</dcterms:created>
  <dcterms:modified xsi:type="dcterms:W3CDTF">2025-12-16T05:08:20Z</dcterms:modified>
  <cp:category/>
  <cp:contentStatus/>
</cp:coreProperties>
</file>